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13620" activeTab="0"/>
  </bookViews>
  <sheets>
    <sheet name="Shares A" sheetId="1" r:id="rId1"/>
    <sheet name="Shares B" sheetId="2" r:id="rId2"/>
    <sheet name="Sheet2" sheetId="3" r:id="rId3"/>
    <sheet name="Sheet3" sheetId="4" r:id="rId4"/>
  </sheets>
  <definedNames>
    <definedName name="_xlnm.Print_Area" localSheetId="1">'Shares B'!$A$1:$P$226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<sst xmlns="http://schemas.openxmlformats.org/spreadsheetml/2006/main" count="219" uniqueCount="114">
  <si>
    <t>EBITDA</t>
  </si>
  <si>
    <t>Net Income</t>
  </si>
  <si>
    <t>Business Value</t>
  </si>
  <si>
    <t>EBITDA Multiple Method</t>
  </si>
  <si>
    <t>Multiple</t>
  </si>
  <si>
    <t>EV</t>
  </si>
  <si>
    <t>plus, Cash</t>
  </si>
  <si>
    <t>less, Debt</t>
  </si>
  <si>
    <t>Equity Value</t>
  </si>
  <si>
    <t>EBITDA Multiple</t>
  </si>
  <si>
    <t>Projection Year:</t>
  </si>
  <si>
    <t>Interest (Expense)</t>
  </si>
  <si>
    <t>Interest Income</t>
  </si>
  <si>
    <t>Earnings / Profit Before Tax (EBT)</t>
  </si>
  <si>
    <t>Taxes</t>
  </si>
  <si>
    <t>Balance Sheet</t>
  </si>
  <si>
    <t>Revolver</t>
  </si>
  <si>
    <t>Senior Debt</t>
  </si>
  <si>
    <t>Subordinated Debt</t>
  </si>
  <si>
    <t xml:space="preserve">Total Debt </t>
  </si>
  <si>
    <t>Cash Flow</t>
  </si>
  <si>
    <t>Operating Cash Flow:</t>
  </si>
  <si>
    <t>Depreciation</t>
  </si>
  <si>
    <t>Changes in Working Capital</t>
  </si>
  <si>
    <t>Accounts Receivable</t>
  </si>
  <si>
    <t>Inventory</t>
  </si>
  <si>
    <t>Accounts Payable</t>
  </si>
  <si>
    <t>Other</t>
  </si>
  <si>
    <t>Total Operating Cash Flow</t>
  </si>
  <si>
    <t>Investing Cash Flow:</t>
  </si>
  <si>
    <t>Purchases of PP&amp;E (Capital Expenditures)</t>
  </si>
  <si>
    <t>Total Investing Cash Flow</t>
  </si>
  <si>
    <t>Financing Cash Flow:</t>
  </si>
  <si>
    <t>(Payments To) / Borrowings From Revolver</t>
  </si>
  <si>
    <t>(Payments To) / Borrowings From Senior Debt</t>
  </si>
  <si>
    <t>(Payments To) / Borrowings From Subordinated Debt</t>
  </si>
  <si>
    <t>Sale of Stock</t>
  </si>
  <si>
    <t>Total Financing Cash Flow</t>
  </si>
  <si>
    <t>Net Cash Flow</t>
  </si>
  <si>
    <t>Cash Beginning of Period</t>
  </si>
  <si>
    <t>Cash End of Period</t>
  </si>
  <si>
    <t>Model Mechanics</t>
  </si>
  <si>
    <t>Interest Expense</t>
  </si>
  <si>
    <t>Revolver Interest</t>
  </si>
  <si>
    <t>Senior Interest</t>
  </si>
  <si>
    <t>Subordinated Interest</t>
  </si>
  <si>
    <t>Total Interest Expense</t>
  </si>
  <si>
    <t>Revolver:</t>
  </si>
  <si>
    <t>Cash Flow w/o revovler</t>
  </si>
  <si>
    <t>Cash on hand BOP</t>
  </si>
  <si>
    <t>Total available cash:</t>
  </si>
  <si>
    <t>Less, minimum cash for company under sweep:</t>
  </si>
  <si>
    <t>Total available to pay revolver:</t>
  </si>
  <si>
    <t>Revolver Balance BOP:</t>
  </si>
  <si>
    <t>Payment (to) / from revolver</t>
  </si>
  <si>
    <t>Credit Ratios and tests</t>
  </si>
  <si>
    <t>Revolver draw</t>
  </si>
  <si>
    <t>Revolver maximum</t>
  </si>
  <si>
    <t>Debt to operating income</t>
  </si>
  <si>
    <t>Minimum covenant</t>
  </si>
  <si>
    <t>Inputs:</t>
  </si>
  <si>
    <t>Tax Rate</t>
  </si>
  <si>
    <t>Cash Interest Earnings</t>
  </si>
  <si>
    <t>Senior Debt Term</t>
  </si>
  <si>
    <t>years</t>
  </si>
  <si>
    <t>Subordinated Debt Term</t>
  </si>
  <si>
    <t>years (after senior paid)</t>
  </si>
  <si>
    <t>Revolver cash sweep minimum cash on hand</t>
  </si>
  <si>
    <t>Operating Profit / EBITDA</t>
  </si>
  <si>
    <t>Nominal Share Count</t>
  </si>
  <si>
    <t>Private Equity</t>
  </si>
  <si>
    <t>Subordinated Debt Warrants</t>
  </si>
  <si>
    <t>Shares (Fully Diluted)</t>
  </si>
  <si>
    <t>Management Options</t>
  </si>
  <si>
    <t>Employee Options</t>
  </si>
  <si>
    <t>Subordinated Debt Warrant % (nominal strike price)</t>
  </si>
  <si>
    <t>Management Grant % of outstanding / year</t>
  </si>
  <si>
    <t>Employee Grant % of outstanding / year</t>
  </si>
  <si>
    <t>Total (Fully Diluted)</t>
  </si>
  <si>
    <t>Share Price (Fully Diluted)</t>
  </si>
  <si>
    <t>Management Grant strike price</t>
  </si>
  <si>
    <t>Employee Grant striket price</t>
  </si>
  <si>
    <t>Management Options Dilutive Effect</t>
  </si>
  <si>
    <t>Employee Options Dilutive Effect</t>
  </si>
  <si>
    <t>PE Purchase Economics</t>
  </si>
  <si>
    <t>Purchase Price</t>
  </si>
  <si>
    <t>Debt</t>
  </si>
  <si>
    <t>Equity</t>
  </si>
  <si>
    <t>Pre-tax Returns (ignoring mgmt fee, no dividends)</t>
  </si>
  <si>
    <t>Shares &amp; Option Value Example (Row 54)</t>
  </si>
  <si>
    <t>Management Options Value (ISOs) $000s</t>
  </si>
  <si>
    <t>Employee Options Value (NQSOs) $000s</t>
  </si>
  <si>
    <t>plus, Cash from tax shelter on options</t>
  </si>
  <si>
    <t>Compensation tax deduction</t>
  </si>
  <si>
    <t>Management Options Dilutive Effect Total Shares</t>
  </si>
  <si>
    <t>Discount Rate:</t>
  </si>
  <si>
    <t>"Rolling DCF" Method</t>
  </si>
  <si>
    <t>Unlevered Cash Flow:</t>
  </si>
  <si>
    <t>Remove, Financing Cash Flow</t>
  </si>
  <si>
    <t>Remove, Interest Income &amp; Expense, net</t>
  </si>
  <si>
    <t>Remove, Tax shelter on Interest Income &amp; Expense, net</t>
  </si>
  <si>
    <t>Continuing Value</t>
  </si>
  <si>
    <t>Cash Flow for DCF</t>
  </si>
  <si>
    <t>Continuing Growth Rate:</t>
  </si>
  <si>
    <t>Rolling DCF, Enterprise Value</t>
  </si>
  <si>
    <t>Discount Factor</t>
  </si>
  <si>
    <t>Rolling DCF, Enterprise Value, using sumproduct</t>
  </si>
  <si>
    <t>Discounted Cash Flows</t>
  </si>
  <si>
    <t>Sum</t>
  </si>
  <si>
    <t>Discounted Year</t>
  </si>
  <si>
    <t>Example share price:</t>
  </si>
  <si>
    <t>Example share value:</t>
  </si>
  <si>
    <t>Example shares for value:</t>
  </si>
  <si>
    <t>Strike Value: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</si>
</sst>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0.0%"/>
    <numFmt numFmtId="167" formatCode="_(* #,##0_);_(* \(#,##0\);_(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38" fontId="0" fillId="33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 indent="1"/>
    </xf>
    <xf numFmtId="38" fontId="43" fillId="33" borderId="0" xfId="0" applyNumberFormat="1" applyFont="1" applyFill="1" applyAlignment="1">
      <alignment/>
    </xf>
    <xf numFmtId="38" fontId="43" fillId="0" borderId="0" xfId="0" applyNumberFormat="1" applyFont="1" applyAlignment="1">
      <alignment/>
    </xf>
    <xf numFmtId="38" fontId="43" fillId="0" borderId="12" xfId="0" applyNumberFormat="1" applyFont="1" applyBorder="1" applyAlignment="1">
      <alignment/>
    </xf>
    <xf numFmtId="0" fontId="0" fillId="34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horizontal="left"/>
    </xf>
    <xf numFmtId="38" fontId="0" fillId="0" borderId="11" xfId="0" applyNumberFormat="1" applyBorder="1" applyAlignment="1">
      <alignment horizontal="right"/>
    </xf>
    <xf numFmtId="0" fontId="0" fillId="35" borderId="0" xfId="0" applyFill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0" fontId="45" fillId="0" borderId="0" xfId="0" applyFont="1" applyFill="1" applyAlignment="1">
      <alignment horizontal="left" indent="1"/>
    </xf>
    <xf numFmtId="43" fontId="45" fillId="33" borderId="0" xfId="42" applyFont="1" applyFill="1" applyAlignment="1">
      <alignment/>
    </xf>
    <xf numFmtId="9" fontId="0" fillId="33" borderId="0" xfId="0" applyNumberFormat="1" applyFill="1" applyAlignment="1">
      <alignment/>
    </xf>
    <xf numFmtId="165" fontId="0" fillId="33" borderId="0" xfId="42" applyNumberFormat="1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 horizontal="left" indent="1"/>
    </xf>
    <xf numFmtId="166" fontId="0" fillId="33" borderId="0" xfId="0" applyNumberFormat="1" applyFill="1" applyAlignment="1">
      <alignment/>
    </xf>
    <xf numFmtId="44" fontId="0" fillId="0" borderId="0" xfId="0" applyNumberFormat="1" applyFill="1" applyAlignment="1">
      <alignment/>
    </xf>
    <xf numFmtId="38" fontId="0" fillId="0" borderId="11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35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6" fontId="0" fillId="0" borderId="0" xfId="57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 indent="3"/>
    </xf>
    <xf numFmtId="166" fontId="0" fillId="33" borderId="0" xfId="57" applyNumberFormat="1" applyFont="1" applyFill="1" applyAlignment="1">
      <alignment/>
    </xf>
    <xf numFmtId="166" fontId="0" fillId="0" borderId="0" xfId="57" applyNumberFormat="1" applyFont="1" applyFill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Alignment="1">
      <alignment horizontal="left" indent="4"/>
    </xf>
    <xf numFmtId="0" fontId="0" fillId="0" borderId="0" xfId="0" applyFill="1" applyAlignment="1">
      <alignment horizontal="center"/>
    </xf>
    <xf numFmtId="40" fontId="0" fillId="0" borderId="0" xfId="0" applyNumberFormat="1" applyBorder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/>
    </xf>
    <xf numFmtId="38" fontId="49" fillId="0" borderId="0" xfId="0" applyNumberFormat="1" applyFont="1" applyBorder="1" applyAlignment="1">
      <alignment/>
    </xf>
    <xf numFmtId="0" fontId="0" fillId="0" borderId="0" xfId="0" applyFill="1" applyAlignment="1">
      <alignment horizontal="left" indent="4"/>
    </xf>
    <xf numFmtId="38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PageLayoutView="0" workbookViewId="0" topLeftCell="A13">
      <selection activeCell="A45" sqref="A45"/>
    </sheetView>
  </sheetViews>
  <sheetFormatPr defaultColWidth="9.00390625" defaultRowHeight="14.25"/>
  <cols>
    <col min="1" max="1" width="48.25390625" style="0" customWidth="1"/>
    <col min="2" max="2" width="11.125" style="0" customWidth="1"/>
    <col min="3" max="7" width="10.125" style="0" customWidth="1"/>
    <col min="8" max="11" width="9.875" style="0" customWidth="1"/>
    <col min="12" max="12" width="9.125" style="0" bestFit="1" customWidth="1"/>
    <col min="13" max="13" width="9.625" style="0" customWidth="1"/>
    <col min="15" max="15" width="9.375" style="0" customWidth="1"/>
    <col min="16" max="16" width="10.25390625" style="0" customWidth="1"/>
  </cols>
  <sheetData>
    <row r="1" ht="14.25">
      <c r="A1" s="13" t="s">
        <v>89</v>
      </c>
    </row>
    <row r="2" spans="1:16" ht="14.25">
      <c r="A2" s="14" t="s">
        <v>10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</row>
    <row r="3" spans="2:16" ht="15" thickBot="1">
      <c r="B3" s="16">
        <v>2009</v>
      </c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16">
        <v>2017</v>
      </c>
      <c r="K3" s="16">
        <v>2018</v>
      </c>
      <c r="L3" s="16">
        <v>2019</v>
      </c>
      <c r="M3" s="16">
        <v>2020</v>
      </c>
      <c r="N3" s="16">
        <v>2021</v>
      </c>
      <c r="O3" s="16">
        <v>2022</v>
      </c>
      <c r="P3" s="16">
        <v>2023</v>
      </c>
    </row>
    <row r="5" spans="1:16" ht="15">
      <c r="A5" s="17" t="s">
        <v>68</v>
      </c>
      <c r="B5" s="17"/>
      <c r="C5" s="18">
        <v>15000</v>
      </c>
      <c r="D5" s="18">
        <f>C5*1.05</f>
        <v>15750</v>
      </c>
      <c r="E5" s="18">
        <v>12800</v>
      </c>
      <c r="F5" s="18">
        <v>15000</v>
      </c>
      <c r="G5" s="18">
        <f aca="true" t="shared" si="0" ref="G5:P5">F5*1.05</f>
        <v>15750</v>
      </c>
      <c r="H5" s="18">
        <v>18000</v>
      </c>
      <c r="I5" s="18">
        <f t="shared" si="0"/>
        <v>18900</v>
      </c>
      <c r="J5" s="18">
        <f t="shared" si="0"/>
        <v>19845</v>
      </c>
      <c r="K5" s="18">
        <f t="shared" si="0"/>
        <v>20837.25</v>
      </c>
      <c r="L5" s="18">
        <f t="shared" si="0"/>
        <v>21879.1125</v>
      </c>
      <c r="M5" s="18">
        <f t="shared" si="0"/>
        <v>22973.068125</v>
      </c>
      <c r="N5" s="18">
        <f t="shared" si="0"/>
        <v>24121.72153125</v>
      </c>
      <c r="O5" s="18">
        <f t="shared" si="0"/>
        <v>25327.8076078125</v>
      </c>
      <c r="P5" s="18">
        <f t="shared" si="0"/>
        <v>26594.197988203126</v>
      </c>
    </row>
    <row r="6" spans="1:16" ht="14.25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>
      <c r="A7" s="4" t="s">
        <v>11</v>
      </c>
      <c r="B7" s="4"/>
      <c r="C7" s="1">
        <f>-C135</f>
        <v>-4803.571428571428</v>
      </c>
      <c r="D7" s="1">
        <f aca="true" t="shared" si="1" ref="D7:P7">-D135</f>
        <v>-4285.714285714286</v>
      </c>
      <c r="E7" s="1">
        <f t="shared" si="1"/>
        <v>-3942.8571428571427</v>
      </c>
      <c r="F7" s="1">
        <f t="shared" si="1"/>
        <v>-3600</v>
      </c>
      <c r="G7" s="1">
        <f t="shared" si="1"/>
        <v>-3257.142857142857</v>
      </c>
      <c r="H7" s="1">
        <f t="shared" si="1"/>
        <v>-2914.285714285714</v>
      </c>
      <c r="I7" s="1">
        <f t="shared" si="1"/>
        <v>-2571.4285714285716</v>
      </c>
      <c r="J7" s="1">
        <f t="shared" si="1"/>
        <v>-2160</v>
      </c>
      <c r="K7" s="1">
        <f t="shared" si="1"/>
        <v>-1680</v>
      </c>
      <c r="L7" s="1">
        <f t="shared" si="1"/>
        <v>-1200</v>
      </c>
      <c r="M7" s="1">
        <f t="shared" si="1"/>
        <v>-720</v>
      </c>
      <c r="N7" s="1">
        <f t="shared" si="1"/>
        <v>-240</v>
      </c>
      <c r="O7" s="1">
        <f t="shared" si="1"/>
        <v>0</v>
      </c>
      <c r="P7" s="1">
        <f t="shared" si="1"/>
        <v>0</v>
      </c>
    </row>
    <row r="8" spans="1:16" ht="14.25">
      <c r="A8" s="4" t="s">
        <v>12</v>
      </c>
      <c r="B8" s="4"/>
      <c r="C8" s="1">
        <f>AVERAGE(B50:C50)*$C$166</f>
        <v>34.32136586764126</v>
      </c>
      <c r="D8" s="1">
        <f aca="true" t="shared" si="2" ref="D8:P8">AVERAGE(C50:D50)*$C$166</f>
        <v>32.07734023389985</v>
      </c>
      <c r="E8" s="1">
        <f t="shared" si="2"/>
        <v>50.53332489557062</v>
      </c>
      <c r="F8" s="1">
        <f t="shared" si="2"/>
        <v>68.90005480817925</v>
      </c>
      <c r="G8" s="1">
        <f t="shared" si="2"/>
        <v>99.24115660240652</v>
      </c>
      <c r="H8" s="1">
        <f t="shared" si="2"/>
        <v>141.79774732588777</v>
      </c>
      <c r="I8" s="1">
        <f t="shared" si="2"/>
        <v>197.13857609127925</v>
      </c>
      <c r="J8" s="1">
        <f t="shared" si="2"/>
        <v>262.7487456010651</v>
      </c>
      <c r="K8" s="1">
        <f t="shared" si="2"/>
        <v>339.4431818653309</v>
      </c>
      <c r="L8" s="1">
        <f t="shared" si="2"/>
        <v>426.4003514736827</v>
      </c>
      <c r="M8" s="1">
        <f t="shared" si="2"/>
        <v>524.0188007496586</v>
      </c>
      <c r="N8" s="1">
        <f t="shared" si="2"/>
        <v>632.7162560671256</v>
      </c>
      <c r="O8" s="1">
        <f t="shared" si="2"/>
        <v>772.2132466529191</v>
      </c>
      <c r="P8" s="1">
        <f t="shared" si="2"/>
        <v>941.5294285343283</v>
      </c>
    </row>
    <row r="9" spans="1:16" ht="14.25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7" t="s">
        <v>13</v>
      </c>
      <c r="B10" s="17"/>
      <c r="C10" s="19">
        <f>C5+C7+C8</f>
        <v>10230.749937296214</v>
      </c>
      <c r="D10" s="19">
        <f aca="true" t="shared" si="3" ref="D10:P10">D5+D7+D8</f>
        <v>11496.363054519614</v>
      </c>
      <c r="E10" s="19">
        <f t="shared" si="3"/>
        <v>8907.676182038427</v>
      </c>
      <c r="F10" s="19">
        <f t="shared" si="3"/>
        <v>11468.900054808179</v>
      </c>
      <c r="G10" s="19">
        <f t="shared" si="3"/>
        <v>12592.098299459549</v>
      </c>
      <c r="H10" s="19">
        <f t="shared" si="3"/>
        <v>15227.512033040173</v>
      </c>
      <c r="I10" s="19">
        <f t="shared" si="3"/>
        <v>16525.710004662706</v>
      </c>
      <c r="J10" s="19">
        <f t="shared" si="3"/>
        <v>17947.748745601064</v>
      </c>
      <c r="K10" s="19">
        <f t="shared" si="3"/>
        <v>19496.693181865332</v>
      </c>
      <c r="L10" s="19">
        <f t="shared" si="3"/>
        <v>21105.512851473683</v>
      </c>
      <c r="M10" s="19">
        <f t="shared" si="3"/>
        <v>22777.08692574966</v>
      </c>
      <c r="N10" s="19">
        <f t="shared" si="3"/>
        <v>24514.437787317125</v>
      </c>
      <c r="O10" s="19">
        <f t="shared" si="3"/>
        <v>26100.02085446542</v>
      </c>
      <c r="P10" s="19">
        <f t="shared" si="3"/>
        <v>27535.727416737456</v>
      </c>
    </row>
    <row r="11" spans="1:16" ht="14.25">
      <c r="A11" s="4" t="s">
        <v>14</v>
      </c>
      <c r="B11" s="4"/>
      <c r="C11" s="1">
        <f>C10*$C$164</f>
        <v>3580.762478053675</v>
      </c>
      <c r="D11" s="1">
        <f aca="true" t="shared" si="4" ref="D11:P11">D10*$C$164</f>
        <v>4023.7270690818646</v>
      </c>
      <c r="E11" s="1">
        <f t="shared" si="4"/>
        <v>3117.6866637134494</v>
      </c>
      <c r="F11" s="1">
        <f t="shared" si="4"/>
        <v>4014.1150191828624</v>
      </c>
      <c r="G11" s="1">
        <f t="shared" si="4"/>
        <v>4407.234404810842</v>
      </c>
      <c r="H11" s="1">
        <f t="shared" si="4"/>
        <v>5329.62921156406</v>
      </c>
      <c r="I11" s="1">
        <f t="shared" si="4"/>
        <v>5783.998501631947</v>
      </c>
      <c r="J11" s="1">
        <f t="shared" si="4"/>
        <v>6281.712060960372</v>
      </c>
      <c r="K11" s="1">
        <f t="shared" si="4"/>
        <v>6823.842613652866</v>
      </c>
      <c r="L11" s="1">
        <f t="shared" si="4"/>
        <v>7386.929498015788</v>
      </c>
      <c r="M11" s="1">
        <f t="shared" si="4"/>
        <v>7971.98042401238</v>
      </c>
      <c r="N11" s="1">
        <f t="shared" si="4"/>
        <v>8580.053225560994</v>
      </c>
      <c r="O11" s="1">
        <f t="shared" si="4"/>
        <v>9135.007299062896</v>
      </c>
      <c r="P11" s="1">
        <f t="shared" si="4"/>
        <v>9637.504595858109</v>
      </c>
    </row>
    <row r="12" spans="1:16" ht="14.25">
      <c r="A12" s="4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>
      <c r="A13" s="17" t="s">
        <v>1</v>
      </c>
      <c r="B13" s="17"/>
      <c r="C13" s="20">
        <f>C10-C11</f>
        <v>6649.9874592425385</v>
      </c>
      <c r="D13" s="20">
        <f aca="true" t="shared" si="5" ref="D13:P13">D10-D11</f>
        <v>7472.63598543775</v>
      </c>
      <c r="E13" s="20">
        <f t="shared" si="5"/>
        <v>5789.989518324977</v>
      </c>
      <c r="F13" s="20">
        <f t="shared" si="5"/>
        <v>7454.785035625317</v>
      </c>
      <c r="G13" s="20">
        <f t="shared" si="5"/>
        <v>8184.863894648707</v>
      </c>
      <c r="H13" s="20">
        <f t="shared" si="5"/>
        <v>9897.882821476112</v>
      </c>
      <c r="I13" s="20">
        <f t="shared" si="5"/>
        <v>10741.711503030758</v>
      </c>
      <c r="J13" s="20">
        <f t="shared" si="5"/>
        <v>11666.036684640692</v>
      </c>
      <c r="K13" s="20">
        <f t="shared" si="5"/>
        <v>12672.850568212467</v>
      </c>
      <c r="L13" s="20">
        <f t="shared" si="5"/>
        <v>13718.583353457894</v>
      </c>
      <c r="M13" s="20">
        <f t="shared" si="5"/>
        <v>14805.106501737278</v>
      </c>
      <c r="N13" s="20">
        <f t="shared" si="5"/>
        <v>15934.384561756131</v>
      </c>
      <c r="O13" s="20">
        <f t="shared" si="5"/>
        <v>16965.013555402526</v>
      </c>
      <c r="P13" s="20">
        <f t="shared" si="5"/>
        <v>17898.222820879346</v>
      </c>
    </row>
    <row r="14" spans="1:16" ht="15" thickTop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22" t="s">
        <v>15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4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4" t="s">
        <v>16</v>
      </c>
      <c r="B17" s="11">
        <v>5000</v>
      </c>
      <c r="C17" s="1">
        <f>B17+C41</f>
        <v>0</v>
      </c>
      <c r="D17" s="1">
        <f aca="true" t="shared" si="6" ref="D17:P19">C17+D41</f>
        <v>0</v>
      </c>
      <c r="E17" s="1">
        <f t="shared" si="6"/>
        <v>0</v>
      </c>
      <c r="F17" s="1">
        <f t="shared" si="6"/>
        <v>0</v>
      </c>
      <c r="G17" s="1">
        <f t="shared" si="6"/>
        <v>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</row>
    <row r="18" spans="1:16" ht="14.25">
      <c r="A18" s="4" t="s">
        <v>17</v>
      </c>
      <c r="B18" s="11">
        <v>30000</v>
      </c>
      <c r="C18" s="1">
        <f aca="true" t="shared" si="7" ref="C18:I19">B18+C42</f>
        <v>25714.285714285714</v>
      </c>
      <c r="D18" s="1">
        <f t="shared" si="7"/>
        <v>21428.571428571428</v>
      </c>
      <c r="E18" s="1">
        <f t="shared" si="7"/>
        <v>17142.85714285714</v>
      </c>
      <c r="F18" s="1">
        <f t="shared" si="7"/>
        <v>12857.142857142855</v>
      </c>
      <c r="G18" s="1">
        <f t="shared" si="7"/>
        <v>8571.428571428569</v>
      </c>
      <c r="H18" s="1">
        <f t="shared" si="7"/>
        <v>4285.7142857142835</v>
      </c>
      <c r="I18" s="1">
        <f t="shared" si="7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</row>
    <row r="19" spans="1:16" ht="14.25">
      <c r="A19" s="4" t="s">
        <v>18</v>
      </c>
      <c r="B19" s="11">
        <v>20000</v>
      </c>
      <c r="C19" s="1">
        <f t="shared" si="7"/>
        <v>20000</v>
      </c>
      <c r="D19" s="1">
        <f t="shared" si="7"/>
        <v>20000</v>
      </c>
      <c r="E19" s="1">
        <f t="shared" si="7"/>
        <v>20000</v>
      </c>
      <c r="F19" s="1">
        <f t="shared" si="7"/>
        <v>20000</v>
      </c>
      <c r="G19" s="1">
        <f t="shared" si="7"/>
        <v>20000</v>
      </c>
      <c r="H19" s="1">
        <f t="shared" si="7"/>
        <v>20000</v>
      </c>
      <c r="I19" s="1">
        <f t="shared" si="7"/>
        <v>20000</v>
      </c>
      <c r="J19" s="1">
        <f t="shared" si="6"/>
        <v>16000</v>
      </c>
      <c r="K19" s="1">
        <f t="shared" si="6"/>
        <v>12000</v>
      </c>
      <c r="L19" s="1">
        <f t="shared" si="6"/>
        <v>8000</v>
      </c>
      <c r="M19" s="1">
        <f t="shared" si="6"/>
        <v>4000</v>
      </c>
      <c r="N19" s="1">
        <f t="shared" si="6"/>
        <v>0</v>
      </c>
      <c r="O19" s="1">
        <f t="shared" si="6"/>
        <v>0</v>
      </c>
      <c r="P19" s="1">
        <f t="shared" si="6"/>
        <v>0</v>
      </c>
    </row>
    <row r="20" spans="1:16" ht="14.25">
      <c r="A20" s="23" t="s">
        <v>19</v>
      </c>
      <c r="B20" s="24">
        <f>SUM(B17:B19)</f>
        <v>55000</v>
      </c>
      <c r="C20" s="24">
        <f>SUM(C17:C19)</f>
        <v>45714.28571428571</v>
      </c>
      <c r="D20" s="24">
        <f aca="true" t="shared" si="8" ref="D20:P20">SUM(D17:D19)</f>
        <v>41428.57142857143</v>
      </c>
      <c r="E20" s="24">
        <f t="shared" si="8"/>
        <v>37142.857142857145</v>
      </c>
      <c r="F20" s="24">
        <f t="shared" si="8"/>
        <v>32857.142857142855</v>
      </c>
      <c r="G20" s="24">
        <f t="shared" si="8"/>
        <v>28571.42857142857</v>
      </c>
      <c r="H20" s="24">
        <f t="shared" si="8"/>
        <v>24285.714285714283</v>
      </c>
      <c r="I20" s="24">
        <f t="shared" si="8"/>
        <v>20000</v>
      </c>
      <c r="J20" s="24">
        <f t="shared" si="8"/>
        <v>16000</v>
      </c>
      <c r="K20" s="24">
        <f t="shared" si="8"/>
        <v>12000</v>
      </c>
      <c r="L20" s="24">
        <f t="shared" si="8"/>
        <v>8000</v>
      </c>
      <c r="M20" s="24">
        <f t="shared" si="8"/>
        <v>4000</v>
      </c>
      <c r="N20" s="24">
        <f t="shared" si="8"/>
        <v>0</v>
      </c>
      <c r="O20" s="24">
        <f t="shared" si="8"/>
        <v>0</v>
      </c>
      <c r="P20" s="24">
        <f t="shared" si="8"/>
        <v>0</v>
      </c>
    </row>
    <row r="21" spans="1:16" ht="14.25">
      <c r="A21" s="4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7"/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">
      <c r="A24" s="2" t="s">
        <v>20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4" t="s">
        <v>21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5" t="s">
        <v>1</v>
      </c>
      <c r="B27" s="5"/>
      <c r="C27" s="1">
        <f>C13</f>
        <v>6649.9874592425385</v>
      </c>
      <c r="D27" s="1">
        <f aca="true" t="shared" si="9" ref="D27:P27">D13</f>
        <v>7472.63598543775</v>
      </c>
      <c r="E27" s="1">
        <f t="shared" si="9"/>
        <v>5789.989518324977</v>
      </c>
      <c r="F27" s="1">
        <f t="shared" si="9"/>
        <v>7454.785035625317</v>
      </c>
      <c r="G27" s="1">
        <f t="shared" si="9"/>
        <v>8184.863894648707</v>
      </c>
      <c r="H27" s="1">
        <f t="shared" si="9"/>
        <v>9897.882821476112</v>
      </c>
      <c r="I27" s="1">
        <f t="shared" si="9"/>
        <v>10741.711503030758</v>
      </c>
      <c r="J27" s="1">
        <f t="shared" si="9"/>
        <v>11666.036684640692</v>
      </c>
      <c r="K27" s="1">
        <f t="shared" si="9"/>
        <v>12672.850568212467</v>
      </c>
      <c r="L27" s="1">
        <f t="shared" si="9"/>
        <v>13718.583353457894</v>
      </c>
      <c r="M27" s="1">
        <f t="shared" si="9"/>
        <v>14805.106501737278</v>
      </c>
      <c r="N27" s="1">
        <f t="shared" si="9"/>
        <v>15934.384561756131</v>
      </c>
      <c r="O27" s="1">
        <f t="shared" si="9"/>
        <v>16965.013555402526</v>
      </c>
      <c r="P27" s="1">
        <f t="shared" si="9"/>
        <v>17898.222820879346</v>
      </c>
    </row>
    <row r="28" spans="1:16" ht="14.25">
      <c r="A28" s="5" t="s">
        <v>22</v>
      </c>
      <c r="B28" s="5"/>
      <c r="C28" s="11">
        <v>0</v>
      </c>
      <c r="D28" s="12">
        <f>C28</f>
        <v>0</v>
      </c>
      <c r="E28" s="12">
        <f aca="true" t="shared" si="10" ref="E28:P28">D28</f>
        <v>0</v>
      </c>
      <c r="F28" s="12">
        <f t="shared" si="10"/>
        <v>0</v>
      </c>
      <c r="G28" s="12">
        <f t="shared" si="10"/>
        <v>0</v>
      </c>
      <c r="H28" s="12">
        <f t="shared" si="10"/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12">
        <f t="shared" si="10"/>
        <v>0</v>
      </c>
      <c r="P28" s="12">
        <f t="shared" si="10"/>
        <v>0</v>
      </c>
    </row>
    <row r="29" spans="1:16" ht="14.25">
      <c r="A29" s="5" t="s">
        <v>23</v>
      </c>
      <c r="B29" s="5"/>
      <c r="C29" s="11">
        <v>0</v>
      </c>
      <c r="D29" s="12">
        <f aca="true" t="shared" si="11" ref="D29:P33">C29</f>
        <v>0</v>
      </c>
      <c r="E29" s="12">
        <f t="shared" si="11"/>
        <v>0</v>
      </c>
      <c r="F29" s="12">
        <f t="shared" si="11"/>
        <v>0</v>
      </c>
      <c r="G29" s="12">
        <f t="shared" si="11"/>
        <v>0</v>
      </c>
      <c r="H29" s="12">
        <f t="shared" si="11"/>
        <v>0</v>
      </c>
      <c r="I29" s="12">
        <f t="shared" si="11"/>
        <v>0</v>
      </c>
      <c r="J29" s="12">
        <f t="shared" si="11"/>
        <v>0</v>
      </c>
      <c r="K29" s="12">
        <f t="shared" si="11"/>
        <v>0</v>
      </c>
      <c r="L29" s="12">
        <f t="shared" si="11"/>
        <v>0</v>
      </c>
      <c r="M29" s="12">
        <f t="shared" si="11"/>
        <v>0</v>
      </c>
      <c r="N29" s="12">
        <f t="shared" si="11"/>
        <v>0</v>
      </c>
      <c r="O29" s="12">
        <f t="shared" si="11"/>
        <v>0</v>
      </c>
      <c r="P29" s="12">
        <f t="shared" si="11"/>
        <v>0</v>
      </c>
    </row>
    <row r="30" spans="1:16" ht="14.25">
      <c r="A30" s="6" t="s">
        <v>24</v>
      </c>
      <c r="B30" s="6"/>
      <c r="C30" s="11">
        <v>0</v>
      </c>
      <c r="D30" s="12">
        <f t="shared" si="11"/>
        <v>0</v>
      </c>
      <c r="E30" s="12">
        <f t="shared" si="11"/>
        <v>0</v>
      </c>
      <c r="F30" s="12">
        <f t="shared" si="11"/>
        <v>0</v>
      </c>
      <c r="G30" s="12">
        <f t="shared" si="11"/>
        <v>0</v>
      </c>
      <c r="H30" s="12">
        <f t="shared" si="11"/>
        <v>0</v>
      </c>
      <c r="I30" s="12">
        <f t="shared" si="11"/>
        <v>0</v>
      </c>
      <c r="J30" s="12">
        <f t="shared" si="11"/>
        <v>0</v>
      </c>
      <c r="K30" s="12">
        <f t="shared" si="11"/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</row>
    <row r="31" spans="1:16" ht="14.25">
      <c r="A31" s="6" t="s">
        <v>25</v>
      </c>
      <c r="B31" s="6"/>
      <c r="C31" s="11">
        <v>0</v>
      </c>
      <c r="D31" s="12">
        <f t="shared" si="11"/>
        <v>0</v>
      </c>
      <c r="E31" s="12">
        <f t="shared" si="11"/>
        <v>0</v>
      </c>
      <c r="F31" s="12">
        <f t="shared" si="11"/>
        <v>0</v>
      </c>
      <c r="G31" s="12">
        <f t="shared" si="11"/>
        <v>0</v>
      </c>
      <c r="H31" s="12">
        <f t="shared" si="11"/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1"/>
        <v>0</v>
      </c>
      <c r="M31" s="12">
        <f t="shared" si="11"/>
        <v>0</v>
      </c>
      <c r="N31" s="12">
        <f t="shared" si="11"/>
        <v>0</v>
      </c>
      <c r="O31" s="12">
        <f t="shared" si="11"/>
        <v>0</v>
      </c>
      <c r="P31" s="12">
        <f t="shared" si="11"/>
        <v>0</v>
      </c>
    </row>
    <row r="32" spans="1:16" ht="14.25">
      <c r="A32" s="6" t="s">
        <v>26</v>
      </c>
      <c r="B32" s="6"/>
      <c r="C32" s="11">
        <v>0</v>
      </c>
      <c r="D32" s="12">
        <f t="shared" si="11"/>
        <v>0</v>
      </c>
      <c r="E32" s="12">
        <f t="shared" si="11"/>
        <v>0</v>
      </c>
      <c r="F32" s="12">
        <f t="shared" si="11"/>
        <v>0</v>
      </c>
      <c r="G32" s="12">
        <f t="shared" si="11"/>
        <v>0</v>
      </c>
      <c r="H32" s="12">
        <f t="shared" si="11"/>
        <v>0</v>
      </c>
      <c r="I32" s="12">
        <f t="shared" si="11"/>
        <v>0</v>
      </c>
      <c r="J32" s="12">
        <f t="shared" si="11"/>
        <v>0</v>
      </c>
      <c r="K32" s="12">
        <f t="shared" si="11"/>
        <v>0</v>
      </c>
      <c r="L32" s="12">
        <f t="shared" si="11"/>
        <v>0</v>
      </c>
      <c r="M32" s="12">
        <f t="shared" si="11"/>
        <v>0</v>
      </c>
      <c r="N32" s="12">
        <f t="shared" si="11"/>
        <v>0</v>
      </c>
      <c r="O32" s="12">
        <f t="shared" si="11"/>
        <v>0</v>
      </c>
      <c r="P32" s="12">
        <f t="shared" si="11"/>
        <v>0</v>
      </c>
    </row>
    <row r="33" spans="1:16" ht="14.25">
      <c r="A33" s="6" t="s">
        <v>27</v>
      </c>
      <c r="B33" s="6"/>
      <c r="C33" s="11"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 t="shared" si="11"/>
        <v>0</v>
      </c>
      <c r="O33" s="12">
        <f t="shared" si="11"/>
        <v>0</v>
      </c>
      <c r="P33" s="12">
        <f t="shared" si="11"/>
        <v>0</v>
      </c>
    </row>
    <row r="34" spans="1:16" ht="14.25">
      <c r="A34" s="4" t="s">
        <v>28</v>
      </c>
      <c r="B34" s="5"/>
      <c r="C34" s="8">
        <f>SUM(C27:C33)</f>
        <v>6649.9874592425385</v>
      </c>
      <c r="D34" s="8">
        <f aca="true" t="shared" si="12" ref="D34:P34">SUM(D27:D33)</f>
        <v>7472.63598543775</v>
      </c>
      <c r="E34" s="8">
        <f t="shared" si="12"/>
        <v>5789.989518324977</v>
      </c>
      <c r="F34" s="8">
        <f t="shared" si="12"/>
        <v>7454.785035625317</v>
      </c>
      <c r="G34" s="8">
        <f t="shared" si="12"/>
        <v>8184.863894648707</v>
      </c>
      <c r="H34" s="8">
        <f t="shared" si="12"/>
        <v>9897.882821476112</v>
      </c>
      <c r="I34" s="8">
        <f t="shared" si="12"/>
        <v>10741.711503030758</v>
      </c>
      <c r="J34" s="8">
        <f t="shared" si="12"/>
        <v>11666.036684640692</v>
      </c>
      <c r="K34" s="8">
        <f t="shared" si="12"/>
        <v>12672.850568212467</v>
      </c>
      <c r="L34" s="8">
        <f t="shared" si="12"/>
        <v>13718.583353457894</v>
      </c>
      <c r="M34" s="8">
        <f t="shared" si="12"/>
        <v>14805.106501737278</v>
      </c>
      <c r="N34" s="8">
        <f t="shared" si="12"/>
        <v>15934.384561756131</v>
      </c>
      <c r="O34" s="8">
        <f t="shared" si="12"/>
        <v>16965.013555402526</v>
      </c>
      <c r="P34" s="8">
        <f t="shared" si="12"/>
        <v>17898.222820879346</v>
      </c>
    </row>
    <row r="35" spans="3:16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4" t="s">
        <v>29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5" t="s">
        <v>30</v>
      </c>
      <c r="B37" s="5"/>
      <c r="C37" s="11">
        <v>-500</v>
      </c>
      <c r="D37" s="12">
        <f>C37</f>
        <v>-500</v>
      </c>
      <c r="E37" s="12">
        <f aca="true" t="shared" si="13" ref="E37:P37">D37</f>
        <v>-500</v>
      </c>
      <c r="F37" s="12">
        <f t="shared" si="13"/>
        <v>-500</v>
      </c>
      <c r="G37" s="12">
        <f t="shared" si="13"/>
        <v>-500</v>
      </c>
      <c r="H37" s="12">
        <f t="shared" si="13"/>
        <v>-500</v>
      </c>
      <c r="I37" s="12">
        <f t="shared" si="13"/>
        <v>-500</v>
      </c>
      <c r="J37" s="12">
        <f t="shared" si="13"/>
        <v>-500</v>
      </c>
      <c r="K37" s="12">
        <f t="shared" si="13"/>
        <v>-500</v>
      </c>
      <c r="L37" s="12">
        <f t="shared" si="13"/>
        <v>-500</v>
      </c>
      <c r="M37" s="12">
        <f t="shared" si="13"/>
        <v>-500</v>
      </c>
      <c r="N37" s="12">
        <f t="shared" si="13"/>
        <v>-500</v>
      </c>
      <c r="O37" s="12">
        <f t="shared" si="13"/>
        <v>-500</v>
      </c>
      <c r="P37" s="12">
        <f t="shared" si="13"/>
        <v>-500</v>
      </c>
    </row>
    <row r="38" spans="1:16" ht="14.25">
      <c r="A38" s="4" t="s">
        <v>31</v>
      </c>
      <c r="B38" s="4"/>
      <c r="C38" s="8">
        <f>SUM(C37)</f>
        <v>-500</v>
      </c>
      <c r="D38" s="8">
        <f aca="true" t="shared" si="14" ref="D38:P38">SUM(D37)</f>
        <v>-500</v>
      </c>
      <c r="E38" s="8">
        <f t="shared" si="14"/>
        <v>-500</v>
      </c>
      <c r="F38" s="8">
        <f t="shared" si="14"/>
        <v>-500</v>
      </c>
      <c r="G38" s="8">
        <f t="shared" si="14"/>
        <v>-500</v>
      </c>
      <c r="H38" s="8">
        <f t="shared" si="14"/>
        <v>-500</v>
      </c>
      <c r="I38" s="8">
        <f t="shared" si="14"/>
        <v>-500</v>
      </c>
      <c r="J38" s="8">
        <f t="shared" si="14"/>
        <v>-500</v>
      </c>
      <c r="K38" s="8">
        <f t="shared" si="14"/>
        <v>-500</v>
      </c>
      <c r="L38" s="8">
        <f t="shared" si="14"/>
        <v>-500</v>
      </c>
      <c r="M38" s="8">
        <f t="shared" si="14"/>
        <v>-500</v>
      </c>
      <c r="N38" s="8">
        <f t="shared" si="14"/>
        <v>-500</v>
      </c>
      <c r="O38" s="8">
        <f t="shared" si="14"/>
        <v>-500</v>
      </c>
      <c r="P38" s="8">
        <f t="shared" si="14"/>
        <v>-500</v>
      </c>
    </row>
    <row r="39" spans="3:16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4" t="s">
        <v>32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5" t="s">
        <v>33</v>
      </c>
      <c r="B41" s="5"/>
      <c r="C41" s="1">
        <f>C145</f>
        <v>-5000</v>
      </c>
      <c r="D41" s="1">
        <f aca="true" t="shared" si="15" ref="D41:P41">D145</f>
        <v>0</v>
      </c>
      <c r="E41" s="1">
        <f t="shared" si="15"/>
        <v>0</v>
      </c>
      <c r="F41" s="1">
        <f t="shared" si="15"/>
        <v>0</v>
      </c>
      <c r="G41" s="1">
        <f t="shared" si="15"/>
        <v>0</v>
      </c>
      <c r="H41" s="1">
        <f t="shared" si="15"/>
        <v>0</v>
      </c>
      <c r="I41" s="1">
        <f t="shared" si="15"/>
        <v>0</v>
      </c>
      <c r="J41" s="1">
        <f t="shared" si="15"/>
        <v>0</v>
      </c>
      <c r="K41" s="1">
        <f t="shared" si="15"/>
        <v>0</v>
      </c>
      <c r="L41" s="1">
        <f t="shared" si="15"/>
        <v>0</v>
      </c>
      <c r="M41" s="1">
        <f t="shared" si="15"/>
        <v>0</v>
      </c>
      <c r="N41" s="1">
        <f t="shared" si="15"/>
        <v>0</v>
      </c>
      <c r="O41" s="1">
        <f t="shared" si="15"/>
        <v>0</v>
      </c>
      <c r="P41" s="1">
        <f t="shared" si="15"/>
        <v>0</v>
      </c>
    </row>
    <row r="42" spans="1:16" ht="14.25">
      <c r="A42" s="5" t="s">
        <v>34</v>
      </c>
      <c r="B42" s="5"/>
      <c r="C42" s="1">
        <f aca="true" t="shared" si="16" ref="C42:P42">IF(-$B$18/$C$171+B18&lt;=0,-B18,-$B$18/$C$171)</f>
        <v>-4285.714285714285</v>
      </c>
      <c r="D42" s="1">
        <f t="shared" si="16"/>
        <v>-4285.714285714285</v>
      </c>
      <c r="E42" s="1">
        <f t="shared" si="16"/>
        <v>-4285.714285714285</v>
      </c>
      <c r="F42" s="1">
        <f t="shared" si="16"/>
        <v>-4285.714285714285</v>
      </c>
      <c r="G42" s="1">
        <f t="shared" si="16"/>
        <v>-4285.714285714285</v>
      </c>
      <c r="H42" s="1">
        <f t="shared" si="16"/>
        <v>-4285.714285714285</v>
      </c>
      <c r="I42" s="1">
        <f t="shared" si="16"/>
        <v>-4285.7142857142835</v>
      </c>
      <c r="J42" s="1">
        <f t="shared" si="16"/>
        <v>0</v>
      </c>
      <c r="K42" s="1">
        <f t="shared" si="16"/>
        <v>0</v>
      </c>
      <c r="L42" s="1">
        <f t="shared" si="16"/>
        <v>0</v>
      </c>
      <c r="M42" s="1">
        <f t="shared" si="16"/>
        <v>0</v>
      </c>
      <c r="N42" s="1">
        <f t="shared" si="16"/>
        <v>0</v>
      </c>
      <c r="O42" s="1">
        <f t="shared" si="16"/>
        <v>0</v>
      </c>
      <c r="P42" s="1">
        <f t="shared" si="16"/>
        <v>0</v>
      </c>
    </row>
    <row r="43" spans="1:16" ht="14.25">
      <c r="A43" s="5" t="s">
        <v>35</v>
      </c>
      <c r="B43" s="5"/>
      <c r="C43" s="1">
        <f aca="true" t="shared" si="17" ref="C43:P43">IF(B18&gt;0,0,IF(-$B$19/$C$172+B19&lt;=0,-B19,-$B$19/$C$172))</f>
        <v>0</v>
      </c>
      <c r="D43" s="1">
        <f t="shared" si="17"/>
        <v>0</v>
      </c>
      <c r="E43" s="1">
        <f t="shared" si="17"/>
        <v>0</v>
      </c>
      <c r="F43" s="1">
        <f t="shared" si="17"/>
        <v>0</v>
      </c>
      <c r="G43" s="1">
        <f t="shared" si="17"/>
        <v>0</v>
      </c>
      <c r="H43" s="1">
        <f t="shared" si="17"/>
        <v>0</v>
      </c>
      <c r="I43" s="1">
        <f t="shared" si="17"/>
        <v>0</v>
      </c>
      <c r="J43" s="1">
        <f t="shared" si="17"/>
        <v>-4000</v>
      </c>
      <c r="K43" s="1">
        <f t="shared" si="17"/>
        <v>-4000</v>
      </c>
      <c r="L43" s="1">
        <f t="shared" si="17"/>
        <v>-4000</v>
      </c>
      <c r="M43" s="1">
        <f t="shared" si="17"/>
        <v>-4000</v>
      </c>
      <c r="N43" s="1">
        <f t="shared" si="17"/>
        <v>-4000</v>
      </c>
      <c r="O43" s="1">
        <f t="shared" si="17"/>
        <v>0</v>
      </c>
      <c r="P43" s="1">
        <f t="shared" si="17"/>
        <v>0</v>
      </c>
    </row>
    <row r="44" spans="1:16" ht="14.25">
      <c r="A44" s="5" t="s">
        <v>36</v>
      </c>
      <c r="B44" s="5"/>
      <c r="C44" s="11">
        <v>0</v>
      </c>
      <c r="D44" s="12">
        <f>C44</f>
        <v>0</v>
      </c>
      <c r="E44" s="12">
        <f aca="true" t="shared" si="18" ref="E44:P44">D44</f>
        <v>0</v>
      </c>
      <c r="F44" s="12">
        <f t="shared" si="18"/>
        <v>0</v>
      </c>
      <c r="G44" s="12">
        <f t="shared" si="18"/>
        <v>0</v>
      </c>
      <c r="H44" s="12">
        <f t="shared" si="18"/>
        <v>0</v>
      </c>
      <c r="I44" s="12">
        <f t="shared" si="18"/>
        <v>0</v>
      </c>
      <c r="J44" s="12">
        <f t="shared" si="18"/>
        <v>0</v>
      </c>
      <c r="K44" s="12">
        <f t="shared" si="18"/>
        <v>0</v>
      </c>
      <c r="L44" s="12">
        <f t="shared" si="18"/>
        <v>0</v>
      </c>
      <c r="M44" s="12">
        <f t="shared" si="18"/>
        <v>0</v>
      </c>
      <c r="N44" s="12">
        <f t="shared" si="18"/>
        <v>0</v>
      </c>
      <c r="O44" s="12">
        <f t="shared" si="18"/>
        <v>0</v>
      </c>
      <c r="P44" s="12">
        <f t="shared" si="18"/>
        <v>0</v>
      </c>
    </row>
    <row r="45" spans="1:16" ht="14.25">
      <c r="A45" s="4" t="s">
        <v>37</v>
      </c>
      <c r="B45" s="4"/>
      <c r="C45" s="8">
        <f>SUM(C41:C44)</f>
        <v>-9285.714285714286</v>
      </c>
      <c r="D45" s="8">
        <f aca="true" t="shared" si="19" ref="D45:P45">SUM(D41:D44)</f>
        <v>-4285.714285714285</v>
      </c>
      <c r="E45" s="8">
        <f t="shared" si="19"/>
        <v>-4285.714285714285</v>
      </c>
      <c r="F45" s="8">
        <f t="shared" si="19"/>
        <v>-4285.714285714285</v>
      </c>
      <c r="G45" s="8">
        <f t="shared" si="19"/>
        <v>-4285.714285714285</v>
      </c>
      <c r="H45" s="8">
        <f t="shared" si="19"/>
        <v>-4285.714285714285</v>
      </c>
      <c r="I45" s="8">
        <f t="shared" si="19"/>
        <v>-4285.7142857142835</v>
      </c>
      <c r="J45" s="8">
        <f t="shared" si="19"/>
        <v>-4000</v>
      </c>
      <c r="K45" s="8">
        <f t="shared" si="19"/>
        <v>-4000</v>
      </c>
      <c r="L45" s="8">
        <f t="shared" si="19"/>
        <v>-4000</v>
      </c>
      <c r="M45" s="8">
        <f t="shared" si="19"/>
        <v>-4000</v>
      </c>
      <c r="N45" s="8">
        <f t="shared" si="19"/>
        <v>-4000</v>
      </c>
      <c r="O45" s="8">
        <f t="shared" si="19"/>
        <v>0</v>
      </c>
      <c r="P45" s="8">
        <f t="shared" si="19"/>
        <v>0</v>
      </c>
    </row>
    <row r="46" spans="1:16" ht="14.25">
      <c r="A46" s="4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7" t="s">
        <v>38</v>
      </c>
      <c r="B47" s="17"/>
      <c r="C47" s="19">
        <f>C45+C38+C34</f>
        <v>-3135.7268264717477</v>
      </c>
      <c r="D47" s="19">
        <f aca="true" t="shared" si="20" ref="D47:P47">D45+D38+D34</f>
        <v>2686.9216997234644</v>
      </c>
      <c r="E47" s="19">
        <f t="shared" si="20"/>
        <v>1004.275232610692</v>
      </c>
      <c r="F47" s="19">
        <f t="shared" si="20"/>
        <v>2669.0707499110313</v>
      </c>
      <c r="G47" s="19">
        <f t="shared" si="20"/>
        <v>3399.149608934422</v>
      </c>
      <c r="H47" s="19">
        <f t="shared" si="20"/>
        <v>5112.168535761827</v>
      </c>
      <c r="I47" s="19">
        <f t="shared" si="20"/>
        <v>5955.997217316474</v>
      </c>
      <c r="J47" s="19">
        <f t="shared" si="20"/>
        <v>7166.036684640692</v>
      </c>
      <c r="K47" s="19">
        <f t="shared" si="20"/>
        <v>8172.850568212467</v>
      </c>
      <c r="L47" s="19">
        <f t="shared" si="20"/>
        <v>9218.583353457894</v>
      </c>
      <c r="M47" s="19">
        <f t="shared" si="20"/>
        <v>10305.106501737278</v>
      </c>
      <c r="N47" s="19">
        <f t="shared" si="20"/>
        <v>11434.384561756131</v>
      </c>
      <c r="O47" s="19">
        <f t="shared" si="20"/>
        <v>16465.013555402526</v>
      </c>
      <c r="P47" s="19">
        <f t="shared" si="20"/>
        <v>17398.222820879346</v>
      </c>
    </row>
    <row r="48" spans="1:16" ht="14.25">
      <c r="A48" s="4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4" t="s">
        <v>39</v>
      </c>
      <c r="B49" s="4"/>
      <c r="C49" s="1">
        <f>B50</f>
        <v>5000</v>
      </c>
      <c r="D49" s="1">
        <f aca="true" t="shared" si="21" ref="D49:P49">C50</f>
        <v>1864.2731735282523</v>
      </c>
      <c r="E49" s="1">
        <f t="shared" si="21"/>
        <v>4551.194873251717</v>
      </c>
      <c r="F49" s="1">
        <f t="shared" si="21"/>
        <v>5555.470105862409</v>
      </c>
      <c r="G49" s="1">
        <f t="shared" si="21"/>
        <v>8224.54085577344</v>
      </c>
      <c r="H49" s="1">
        <f t="shared" si="21"/>
        <v>11623.690464707863</v>
      </c>
      <c r="I49" s="1">
        <f t="shared" si="21"/>
        <v>16735.85900046969</v>
      </c>
      <c r="J49" s="1">
        <f t="shared" si="21"/>
        <v>22691.856217786164</v>
      </c>
      <c r="K49" s="1">
        <f t="shared" si="21"/>
        <v>29857.89290242686</v>
      </c>
      <c r="L49" s="1">
        <f t="shared" si="21"/>
        <v>38030.743470639325</v>
      </c>
      <c r="M49" s="1">
        <f t="shared" si="21"/>
        <v>47249.32682409722</v>
      </c>
      <c r="N49" s="1">
        <f t="shared" si="21"/>
        <v>57554.4333258345</v>
      </c>
      <c r="O49" s="1">
        <f t="shared" si="21"/>
        <v>68988.81788759063</v>
      </c>
      <c r="P49" s="1">
        <f t="shared" si="21"/>
        <v>85453.83144299316</v>
      </c>
    </row>
    <row r="50" spans="1:16" ht="14.25">
      <c r="A50" s="4" t="s">
        <v>40</v>
      </c>
      <c r="B50" s="11">
        <v>5000</v>
      </c>
      <c r="C50" s="1">
        <f>C49+C47</f>
        <v>1864.2731735282523</v>
      </c>
      <c r="D50" s="1">
        <f aca="true" t="shared" si="22" ref="D50:P50">D49+D47</f>
        <v>4551.194873251717</v>
      </c>
      <c r="E50" s="1">
        <f t="shared" si="22"/>
        <v>5555.470105862409</v>
      </c>
      <c r="F50" s="1">
        <f t="shared" si="22"/>
        <v>8224.54085577344</v>
      </c>
      <c r="G50" s="1">
        <f t="shared" si="22"/>
        <v>11623.690464707863</v>
      </c>
      <c r="H50" s="1">
        <f t="shared" si="22"/>
        <v>16735.85900046969</v>
      </c>
      <c r="I50" s="1">
        <f t="shared" si="22"/>
        <v>22691.856217786164</v>
      </c>
      <c r="J50" s="1">
        <f t="shared" si="22"/>
        <v>29857.89290242686</v>
      </c>
      <c r="K50" s="1">
        <f t="shared" si="22"/>
        <v>38030.743470639325</v>
      </c>
      <c r="L50" s="1">
        <f t="shared" si="22"/>
        <v>47249.32682409722</v>
      </c>
      <c r="M50" s="1">
        <f t="shared" si="22"/>
        <v>57554.4333258345</v>
      </c>
      <c r="N50" s="1">
        <f t="shared" si="22"/>
        <v>68988.81788759063</v>
      </c>
      <c r="O50" s="1">
        <f t="shared" si="22"/>
        <v>85453.83144299316</v>
      </c>
      <c r="P50" s="1">
        <f t="shared" si="22"/>
        <v>102852.0542638725</v>
      </c>
    </row>
    <row r="52" spans="1:16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="10" customFormat="1" ht="15">
      <c r="A53" s="2" t="s">
        <v>2</v>
      </c>
    </row>
    <row r="54" spans="1:2" s="10" customFormat="1" ht="14.25">
      <c r="A54" s="10" t="s">
        <v>9</v>
      </c>
      <c r="B54" s="36">
        <v>5</v>
      </c>
    </row>
    <row r="55" spans="1:16" s="10" customFormat="1" ht="15.75" thickBot="1">
      <c r="A55"/>
      <c r="B55"/>
      <c r="C55" s="3">
        <v>2010</v>
      </c>
      <c r="D55" s="3">
        <v>2011</v>
      </c>
      <c r="E55" s="3">
        <v>2012</v>
      </c>
      <c r="F55" s="3">
        <v>2013</v>
      </c>
      <c r="G55" s="3">
        <v>2014</v>
      </c>
      <c r="H55" s="3">
        <v>2015</v>
      </c>
      <c r="I55" s="3">
        <v>2016</v>
      </c>
      <c r="J55" s="3">
        <v>2017</v>
      </c>
      <c r="K55" s="3">
        <v>2018</v>
      </c>
      <c r="L55"/>
      <c r="M55"/>
      <c r="N55"/>
      <c r="O55"/>
      <c r="P55"/>
    </row>
    <row r="56" spans="1:16" s="10" customFormat="1" ht="14.25">
      <c r="A56" s="4" t="s">
        <v>3</v>
      </c>
      <c r="B56"/>
      <c r="C56"/>
      <c r="D56"/>
      <c r="E56"/>
      <c r="F56"/>
      <c r="G56"/>
      <c r="L56"/>
      <c r="M56"/>
      <c r="N56"/>
      <c r="O56"/>
      <c r="P56"/>
    </row>
    <row r="57" spans="1:16" s="10" customFormat="1" ht="14.25">
      <c r="A57" s="5" t="s">
        <v>0</v>
      </c>
      <c r="B57"/>
      <c r="C57" s="12">
        <f aca="true" t="shared" si="23" ref="C57:K57">C5</f>
        <v>15000</v>
      </c>
      <c r="D57" s="12">
        <f t="shared" si="23"/>
        <v>15750</v>
      </c>
      <c r="E57" s="12">
        <f t="shared" si="23"/>
        <v>12800</v>
      </c>
      <c r="F57" s="12">
        <f t="shared" si="23"/>
        <v>15000</v>
      </c>
      <c r="G57" s="12">
        <f t="shared" si="23"/>
        <v>15750</v>
      </c>
      <c r="H57" s="12">
        <f t="shared" si="23"/>
        <v>18000</v>
      </c>
      <c r="I57" s="12">
        <f t="shared" si="23"/>
        <v>18900</v>
      </c>
      <c r="J57" s="12">
        <f t="shared" si="23"/>
        <v>19845</v>
      </c>
      <c r="K57" s="12">
        <f t="shared" si="23"/>
        <v>20837.25</v>
      </c>
      <c r="L57"/>
      <c r="M57"/>
      <c r="N57"/>
      <c r="O57"/>
      <c r="P57"/>
    </row>
    <row r="58" spans="1:16" s="10" customFormat="1" ht="14.25">
      <c r="A58" s="6" t="s">
        <v>4</v>
      </c>
      <c r="B58"/>
      <c r="C58" s="7">
        <f aca="true" t="shared" si="24" ref="C58:K58">$B$54</f>
        <v>5</v>
      </c>
      <c r="D58" s="7">
        <f t="shared" si="24"/>
        <v>5</v>
      </c>
      <c r="E58" s="7">
        <f t="shared" si="24"/>
        <v>5</v>
      </c>
      <c r="F58" s="7">
        <f t="shared" si="24"/>
        <v>5</v>
      </c>
      <c r="G58" s="7">
        <f t="shared" si="24"/>
        <v>5</v>
      </c>
      <c r="H58" s="7">
        <f t="shared" si="24"/>
        <v>5</v>
      </c>
      <c r="I58" s="7">
        <f t="shared" si="24"/>
        <v>5</v>
      </c>
      <c r="J58" s="7">
        <f t="shared" si="24"/>
        <v>5</v>
      </c>
      <c r="K58" s="7">
        <f t="shared" si="24"/>
        <v>5</v>
      </c>
      <c r="L58"/>
      <c r="M58"/>
      <c r="N58"/>
      <c r="O58"/>
      <c r="P58"/>
    </row>
    <row r="59" spans="1:16" s="10" customFormat="1" ht="14.25">
      <c r="A59" s="5" t="s">
        <v>5</v>
      </c>
      <c r="B59"/>
      <c r="C59" s="8">
        <f aca="true" t="shared" si="25" ref="C59:K59">C58*C57</f>
        <v>75000</v>
      </c>
      <c r="D59" s="8">
        <f t="shared" si="25"/>
        <v>78750</v>
      </c>
      <c r="E59" s="8">
        <f t="shared" si="25"/>
        <v>64000</v>
      </c>
      <c r="F59" s="8">
        <f t="shared" si="25"/>
        <v>75000</v>
      </c>
      <c r="G59" s="8">
        <f t="shared" si="25"/>
        <v>78750</v>
      </c>
      <c r="H59" s="8">
        <f t="shared" si="25"/>
        <v>90000</v>
      </c>
      <c r="I59" s="8">
        <f t="shared" si="25"/>
        <v>94500</v>
      </c>
      <c r="J59" s="8">
        <f t="shared" si="25"/>
        <v>99225</v>
      </c>
      <c r="K59" s="8">
        <f t="shared" si="25"/>
        <v>104186.25</v>
      </c>
      <c r="L59"/>
      <c r="M59"/>
      <c r="N59"/>
      <c r="O59"/>
      <c r="P59"/>
    </row>
    <row r="60" spans="1:16" s="10" customFormat="1" ht="14.25">
      <c r="A60" s="6" t="s">
        <v>6</v>
      </c>
      <c r="B60"/>
      <c r="C60" s="1">
        <f aca="true" t="shared" si="26" ref="C60:K60">C50</f>
        <v>1864.2731735282523</v>
      </c>
      <c r="D60" s="1">
        <f t="shared" si="26"/>
        <v>4551.194873251717</v>
      </c>
      <c r="E60" s="1">
        <f t="shared" si="26"/>
        <v>5555.470105862409</v>
      </c>
      <c r="F60" s="1">
        <f t="shared" si="26"/>
        <v>8224.54085577344</v>
      </c>
      <c r="G60" s="1">
        <f t="shared" si="26"/>
        <v>11623.690464707863</v>
      </c>
      <c r="H60" s="1">
        <f t="shared" si="26"/>
        <v>16735.85900046969</v>
      </c>
      <c r="I60" s="1">
        <f t="shared" si="26"/>
        <v>22691.856217786164</v>
      </c>
      <c r="J60" s="1">
        <f t="shared" si="26"/>
        <v>29857.89290242686</v>
      </c>
      <c r="K60" s="1">
        <f t="shared" si="26"/>
        <v>38030.743470639325</v>
      </c>
      <c r="L60"/>
      <c r="M60"/>
      <c r="N60"/>
      <c r="O60"/>
      <c r="P60"/>
    </row>
    <row r="61" spans="1:16" s="10" customFormat="1" ht="14.25">
      <c r="A61" s="6" t="s">
        <v>7</v>
      </c>
      <c r="B61"/>
      <c r="C61" s="1">
        <f aca="true" t="shared" si="27" ref="C61:K61">-C20</f>
        <v>-45714.28571428571</v>
      </c>
      <c r="D61" s="1">
        <f t="shared" si="27"/>
        <v>-41428.57142857143</v>
      </c>
      <c r="E61" s="1">
        <f t="shared" si="27"/>
        <v>-37142.857142857145</v>
      </c>
      <c r="F61" s="1">
        <f t="shared" si="27"/>
        <v>-32857.142857142855</v>
      </c>
      <c r="G61" s="1">
        <f t="shared" si="27"/>
        <v>-28571.42857142857</v>
      </c>
      <c r="H61" s="1">
        <f t="shared" si="27"/>
        <v>-24285.714285714283</v>
      </c>
      <c r="I61" s="1">
        <f t="shared" si="27"/>
        <v>-20000</v>
      </c>
      <c r="J61" s="1">
        <f t="shared" si="27"/>
        <v>-16000</v>
      </c>
      <c r="K61" s="1">
        <f t="shared" si="27"/>
        <v>-12000</v>
      </c>
      <c r="L61"/>
      <c r="M61"/>
      <c r="N61"/>
      <c r="O61"/>
      <c r="P61"/>
    </row>
    <row r="62" spans="1:16" s="10" customFormat="1" ht="14.25">
      <c r="A62" s="6" t="s">
        <v>92</v>
      </c>
      <c r="B62"/>
      <c r="C62" s="1">
        <f>C108</f>
        <v>0</v>
      </c>
      <c r="D62" s="1">
        <f aca="true" t="shared" si="28" ref="D62:K62">D108</f>
        <v>59.42870300717672</v>
      </c>
      <c r="E62" s="1">
        <f t="shared" si="28"/>
        <v>6.997924407235903</v>
      </c>
      <c r="F62" s="1">
        <f t="shared" si="28"/>
        <v>140.89860866282626</v>
      </c>
      <c r="G62" s="1">
        <f t="shared" si="28"/>
        <v>248.42275582033682</v>
      </c>
      <c r="H62" s="1">
        <f t="shared" si="28"/>
        <v>468.08108370838056</v>
      </c>
      <c r="I62" s="1">
        <f t="shared" si="28"/>
        <v>642.7524819951844</v>
      </c>
      <c r="J62" s="1">
        <f t="shared" si="28"/>
        <v>849.8982115901285</v>
      </c>
      <c r="K62" s="1">
        <f t="shared" si="28"/>
        <v>1093.1815867980138</v>
      </c>
      <c r="L62"/>
      <c r="M62"/>
      <c r="N62"/>
      <c r="O62"/>
      <c r="P62"/>
    </row>
    <row r="63" spans="1:16" s="10" customFormat="1" ht="15" thickBot="1">
      <c r="A63" s="5" t="s">
        <v>8</v>
      </c>
      <c r="B63"/>
      <c r="C63" s="9">
        <f>SUM(C59:C62)</f>
        <v>31149.987459242548</v>
      </c>
      <c r="D63" s="9">
        <f aca="true" t="shared" si="29" ref="D63:K63">SUM(D59:D62)</f>
        <v>41932.05214768747</v>
      </c>
      <c r="E63" s="9">
        <f t="shared" si="29"/>
        <v>32419.610887412495</v>
      </c>
      <c r="F63" s="9">
        <f t="shared" si="29"/>
        <v>50508.29660729341</v>
      </c>
      <c r="G63" s="9">
        <f t="shared" si="29"/>
        <v>62050.68464909963</v>
      </c>
      <c r="H63" s="9">
        <f t="shared" si="29"/>
        <v>82918.2257984638</v>
      </c>
      <c r="I63" s="9">
        <f t="shared" si="29"/>
        <v>97834.60869978134</v>
      </c>
      <c r="J63" s="9">
        <f t="shared" si="29"/>
        <v>113932.79111401699</v>
      </c>
      <c r="K63" s="9">
        <f t="shared" si="29"/>
        <v>131310.17505743736</v>
      </c>
      <c r="L63"/>
      <c r="M63"/>
      <c r="N63"/>
      <c r="O63"/>
      <c r="P63"/>
    </row>
    <row r="64" s="25" customFormat="1" ht="15" thickTop="1"/>
    <row r="65" spans="1:8" s="10" customFormat="1" ht="14.25">
      <c r="A65" s="13" t="s">
        <v>72</v>
      </c>
      <c r="B65"/>
      <c r="C65"/>
      <c r="D65"/>
      <c r="E65"/>
      <c r="F65"/>
      <c r="G65"/>
      <c r="H65"/>
    </row>
    <row r="66" spans="1:8" s="10" customFormat="1" ht="14.25">
      <c r="A66" s="4" t="s">
        <v>69</v>
      </c>
      <c r="B66" s="11">
        <v>1000000</v>
      </c>
      <c r="C66"/>
      <c r="D66"/>
      <c r="E66"/>
      <c r="F66"/>
      <c r="G66"/>
      <c r="H66"/>
    </row>
    <row r="67" spans="1:8" s="10" customFormat="1" ht="14.25">
      <c r="A67" s="4"/>
      <c r="B67"/>
      <c r="C67"/>
      <c r="D67"/>
      <c r="E67"/>
      <c r="F67"/>
      <c r="G67"/>
      <c r="H67"/>
    </row>
    <row r="68" spans="1:11" s="10" customFormat="1" ht="14.25">
      <c r="A68" s="4" t="s">
        <v>70</v>
      </c>
      <c r="B68" s="1">
        <f>B66</f>
        <v>1000000</v>
      </c>
      <c r="C68" s="1">
        <f aca="true" t="shared" si="30" ref="C68:G69">B68</f>
        <v>1000000</v>
      </c>
      <c r="D68" s="1">
        <f t="shared" si="30"/>
        <v>1000000</v>
      </c>
      <c r="E68" s="1">
        <f t="shared" si="30"/>
        <v>1000000</v>
      </c>
      <c r="F68" s="1">
        <f t="shared" si="30"/>
        <v>1000000</v>
      </c>
      <c r="G68" s="1">
        <f t="shared" si="30"/>
        <v>1000000</v>
      </c>
      <c r="H68" s="1">
        <f aca="true" t="shared" si="31" ref="H68:K69">G68</f>
        <v>1000000</v>
      </c>
      <c r="I68" s="1">
        <f t="shared" si="31"/>
        <v>1000000</v>
      </c>
      <c r="J68" s="1">
        <f t="shared" si="31"/>
        <v>1000000</v>
      </c>
      <c r="K68" s="1">
        <f t="shared" si="31"/>
        <v>1000000</v>
      </c>
    </row>
    <row r="69" spans="1:11" s="10" customFormat="1" ht="14.25">
      <c r="A69" s="4" t="s">
        <v>71</v>
      </c>
      <c r="B69" s="1"/>
      <c r="C69" s="1">
        <f>B66*B75</f>
        <v>200000</v>
      </c>
      <c r="D69" s="1">
        <f t="shared" si="30"/>
        <v>200000</v>
      </c>
      <c r="E69" s="1">
        <f t="shared" si="30"/>
        <v>200000</v>
      </c>
      <c r="F69" s="1">
        <f t="shared" si="30"/>
        <v>200000</v>
      </c>
      <c r="G69" s="1">
        <f t="shared" si="30"/>
        <v>200000</v>
      </c>
      <c r="H69" s="1">
        <f t="shared" si="31"/>
        <v>200000</v>
      </c>
      <c r="I69" s="1">
        <f t="shared" si="31"/>
        <v>200000</v>
      </c>
      <c r="J69" s="1">
        <f t="shared" si="31"/>
        <v>200000</v>
      </c>
      <c r="K69" s="1">
        <f t="shared" si="31"/>
        <v>200000</v>
      </c>
    </row>
    <row r="70" spans="1:11" s="10" customFormat="1" ht="14.25">
      <c r="A70" s="4" t="s">
        <v>73</v>
      </c>
      <c r="B70" s="1"/>
      <c r="C70" s="1">
        <f>C94</f>
        <v>0</v>
      </c>
      <c r="D70" s="1">
        <f aca="true" t="shared" si="32" ref="D70:K70">D94</f>
        <v>12322.603349971292</v>
      </c>
      <c r="E70" s="1">
        <f t="shared" si="32"/>
        <v>1854.185230490184</v>
      </c>
      <c r="F70" s="1">
        <f t="shared" si="32"/>
        <v>23319.51505777079</v>
      </c>
      <c r="G70" s="1">
        <f t="shared" si="32"/>
        <v>33322.50773575856</v>
      </c>
      <c r="H70" s="1">
        <f t="shared" si="32"/>
        <v>46914.360390140515</v>
      </c>
      <c r="I70" s="1">
        <f t="shared" si="32"/>
        <v>54608.56218456522</v>
      </c>
      <c r="J70" s="1">
        <f t="shared" si="32"/>
        <v>62029.48028562815</v>
      </c>
      <c r="K70" s="1">
        <f t="shared" si="32"/>
        <v>69283.92825868263</v>
      </c>
    </row>
    <row r="71" spans="1:11" s="10" customFormat="1" ht="14.25">
      <c r="A71" s="4" t="s">
        <v>74</v>
      </c>
      <c r="B71" s="1"/>
      <c r="C71" s="1">
        <f>C106</f>
        <v>0</v>
      </c>
      <c r="D71" s="1">
        <f aca="true" t="shared" si="33" ref="D71:K71">D106</f>
        <v>4929.0413399885165</v>
      </c>
      <c r="E71" s="1">
        <f t="shared" si="33"/>
        <v>741.6740921960735</v>
      </c>
      <c r="F71" s="1">
        <f t="shared" si="33"/>
        <v>9828.58906739056</v>
      </c>
      <c r="G71" s="1">
        <f t="shared" si="33"/>
        <v>14270.848859453847</v>
      </c>
      <c r="H71" s="1">
        <f t="shared" si="33"/>
        <v>20440.96714193229</v>
      </c>
      <c r="I71" s="1">
        <f t="shared" si="33"/>
        <v>24000.539110446054</v>
      </c>
      <c r="J71" s="1">
        <f t="shared" si="33"/>
        <v>27483.74657973125</v>
      </c>
      <c r="K71" s="1">
        <f t="shared" si="33"/>
        <v>30927.138666506584</v>
      </c>
    </row>
    <row r="72" spans="1:11" s="10" customFormat="1" ht="14.25">
      <c r="A72" s="5" t="s">
        <v>78</v>
      </c>
      <c r="B72" s="8">
        <f aca="true" t="shared" si="34" ref="B72:K72">SUM(B68:B71)</f>
        <v>1000000</v>
      </c>
      <c r="C72" s="8">
        <f t="shared" si="34"/>
        <v>1200000</v>
      </c>
      <c r="D72" s="8">
        <f t="shared" si="34"/>
        <v>1217251.64468996</v>
      </c>
      <c r="E72" s="8">
        <f t="shared" si="34"/>
        <v>1202595.8593226864</v>
      </c>
      <c r="F72" s="8">
        <f t="shared" si="34"/>
        <v>1233148.1041251614</v>
      </c>
      <c r="G72" s="8">
        <f t="shared" si="34"/>
        <v>1247593.3565952124</v>
      </c>
      <c r="H72" s="8">
        <f t="shared" si="34"/>
        <v>1267355.3275320728</v>
      </c>
      <c r="I72" s="8">
        <f t="shared" si="34"/>
        <v>1278609.1012950114</v>
      </c>
      <c r="J72" s="8">
        <f t="shared" si="34"/>
        <v>1289513.2268653596</v>
      </c>
      <c r="K72" s="8">
        <f t="shared" si="34"/>
        <v>1300211.0669251892</v>
      </c>
    </row>
    <row r="73" spans="1:11" s="10" customFormat="1" ht="14.25">
      <c r="A73" s="4" t="s">
        <v>79</v>
      </c>
      <c r="B73" s="37"/>
      <c r="C73" s="37">
        <f aca="true" t="shared" si="35" ref="C73:K73">C63/C72*1000</f>
        <v>25.958322882702124</v>
      </c>
      <c r="D73" s="37">
        <f t="shared" si="35"/>
        <v>34.44813759801308</v>
      </c>
      <c r="E73" s="37">
        <f t="shared" si="35"/>
        <v>26.95802636945011</v>
      </c>
      <c r="F73" s="37">
        <f t="shared" si="35"/>
        <v>40.95882436045731</v>
      </c>
      <c r="G73" s="37">
        <f t="shared" si="35"/>
        <v>49.73630576107041</v>
      </c>
      <c r="H73" s="37">
        <f t="shared" si="35"/>
        <v>65.42618632450211</v>
      </c>
      <c r="I73" s="37">
        <f t="shared" si="35"/>
        <v>76.51643383477537</v>
      </c>
      <c r="J73" s="37">
        <f t="shared" si="35"/>
        <v>88.35333266877217</v>
      </c>
      <c r="K73" s="37">
        <f t="shared" si="35"/>
        <v>100.9914300821688</v>
      </c>
    </row>
    <row r="74" spans="2:11" s="10" customFormat="1" ht="14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2" s="10" customFormat="1" ht="14.25">
      <c r="A75" s="4" t="s">
        <v>75</v>
      </c>
      <c r="B75" s="35">
        <v>0.2</v>
      </c>
    </row>
    <row r="76" spans="1:11" s="10" customFormat="1" ht="14.25">
      <c r="A76" s="38" t="s">
        <v>76</v>
      </c>
      <c r="C76" s="39">
        <v>0.05</v>
      </c>
      <c r="D76" s="39">
        <v>0.01</v>
      </c>
      <c r="E76" s="39">
        <v>0.01</v>
      </c>
      <c r="F76" s="39">
        <v>0.01</v>
      </c>
      <c r="G76" s="39">
        <v>0.01</v>
      </c>
      <c r="H76" s="39">
        <v>0.01</v>
      </c>
      <c r="I76" s="39">
        <v>0.01</v>
      </c>
      <c r="J76" s="39">
        <v>0.01</v>
      </c>
      <c r="K76" s="39">
        <v>0.01</v>
      </c>
    </row>
    <row r="77" spans="1:11" s="10" customFormat="1" ht="14.25">
      <c r="A77" s="38" t="s">
        <v>77</v>
      </c>
      <c r="C77" s="39">
        <v>0.02</v>
      </c>
      <c r="D77" s="39">
        <v>0.005</v>
      </c>
      <c r="E77" s="39">
        <v>0.005</v>
      </c>
      <c r="F77" s="39">
        <v>0.005</v>
      </c>
      <c r="G77" s="39">
        <v>0.005</v>
      </c>
      <c r="H77" s="39">
        <v>0.005</v>
      </c>
      <c r="I77" s="39">
        <v>0.005</v>
      </c>
      <c r="J77" s="39">
        <v>0.005</v>
      </c>
      <c r="K77" s="39">
        <v>0.005</v>
      </c>
    </row>
    <row r="78" s="10" customFormat="1" ht="14.25"/>
    <row r="79" spans="1:11" s="10" customFormat="1" ht="14.25">
      <c r="A79" s="38" t="s">
        <v>76</v>
      </c>
      <c r="C79" s="12">
        <f aca="true" t="shared" si="36" ref="C79:K79">C76*C68</f>
        <v>50000</v>
      </c>
      <c r="D79" s="12">
        <f t="shared" si="36"/>
        <v>10000</v>
      </c>
      <c r="E79" s="12">
        <f t="shared" si="36"/>
        <v>10000</v>
      </c>
      <c r="F79" s="12">
        <f t="shared" si="36"/>
        <v>10000</v>
      </c>
      <c r="G79" s="12">
        <f t="shared" si="36"/>
        <v>10000</v>
      </c>
      <c r="H79" s="12">
        <f t="shared" si="36"/>
        <v>10000</v>
      </c>
      <c r="I79" s="12">
        <f t="shared" si="36"/>
        <v>10000</v>
      </c>
      <c r="J79" s="12">
        <f t="shared" si="36"/>
        <v>10000</v>
      </c>
      <c r="K79" s="12">
        <f t="shared" si="36"/>
        <v>10000</v>
      </c>
    </row>
    <row r="80" spans="1:11" s="10" customFormat="1" ht="14.25">
      <c r="A80" s="38" t="s">
        <v>77</v>
      </c>
      <c r="C80" s="12">
        <f aca="true" t="shared" si="37" ref="C80:K80">C77*C68</f>
        <v>20000</v>
      </c>
      <c r="D80" s="12">
        <f t="shared" si="37"/>
        <v>5000</v>
      </c>
      <c r="E80" s="12">
        <f t="shared" si="37"/>
        <v>5000</v>
      </c>
      <c r="F80" s="12">
        <f t="shared" si="37"/>
        <v>5000</v>
      </c>
      <c r="G80" s="12">
        <f t="shared" si="37"/>
        <v>5000</v>
      </c>
      <c r="H80" s="12">
        <f t="shared" si="37"/>
        <v>5000</v>
      </c>
      <c r="I80" s="12">
        <f t="shared" si="37"/>
        <v>5000</v>
      </c>
      <c r="J80" s="12">
        <f t="shared" si="37"/>
        <v>5000</v>
      </c>
      <c r="K80" s="12">
        <f t="shared" si="37"/>
        <v>5000</v>
      </c>
    </row>
    <row r="81" s="10" customFormat="1" ht="14.25"/>
    <row r="82" spans="1:11" s="10" customFormat="1" ht="14.25">
      <c r="A82" s="38" t="s">
        <v>80</v>
      </c>
      <c r="C82" s="40">
        <f aca="true" t="shared" si="38" ref="C82:K82">C73</f>
        <v>25.958322882702124</v>
      </c>
      <c r="D82" s="40">
        <f t="shared" si="38"/>
        <v>34.44813759801308</v>
      </c>
      <c r="E82" s="40">
        <f t="shared" si="38"/>
        <v>26.95802636945011</v>
      </c>
      <c r="F82" s="40">
        <f t="shared" si="38"/>
        <v>40.95882436045731</v>
      </c>
      <c r="G82" s="40">
        <f t="shared" si="38"/>
        <v>49.73630576107041</v>
      </c>
      <c r="H82" s="40">
        <f t="shared" si="38"/>
        <v>65.42618632450211</v>
      </c>
      <c r="I82" s="40">
        <f t="shared" si="38"/>
        <v>76.51643383477537</v>
      </c>
      <c r="J82" s="40">
        <f t="shared" si="38"/>
        <v>88.35333266877217</v>
      </c>
      <c r="K82" s="40">
        <f t="shared" si="38"/>
        <v>100.9914300821688</v>
      </c>
    </row>
    <row r="83" spans="1:11" s="10" customFormat="1" ht="14.25">
      <c r="A83" s="38" t="s">
        <v>81</v>
      </c>
      <c r="C83" s="40">
        <f aca="true" t="shared" si="39" ref="C83:K83">C73</f>
        <v>25.958322882702124</v>
      </c>
      <c r="D83" s="40">
        <f t="shared" si="39"/>
        <v>34.44813759801308</v>
      </c>
      <c r="E83" s="40">
        <f t="shared" si="39"/>
        <v>26.95802636945011</v>
      </c>
      <c r="F83" s="40">
        <f t="shared" si="39"/>
        <v>40.95882436045731</v>
      </c>
      <c r="G83" s="40">
        <f t="shared" si="39"/>
        <v>49.73630576107041</v>
      </c>
      <c r="H83" s="40">
        <f t="shared" si="39"/>
        <v>65.42618632450211</v>
      </c>
      <c r="I83" s="40">
        <f t="shared" si="39"/>
        <v>76.51643383477537</v>
      </c>
      <c r="J83" s="40">
        <f t="shared" si="39"/>
        <v>88.35333266877217</v>
      </c>
      <c r="K83" s="40">
        <f t="shared" si="39"/>
        <v>100.9914300821688</v>
      </c>
    </row>
    <row r="84" s="10" customFormat="1" ht="14.25">
      <c r="D84" s="40"/>
    </row>
    <row r="85" spans="1:16" s="10" customFormat="1" ht="14.25">
      <c r="A85" s="38" t="s">
        <v>82</v>
      </c>
      <c r="B85" s="10">
        <v>2010</v>
      </c>
      <c r="C85" s="12">
        <f>IF(C$73-$C$82&gt;0,((C$73-$C$82)*$C$79)/C$73,0)</f>
        <v>0</v>
      </c>
      <c r="D85" s="12">
        <f aca="true" t="shared" si="40" ref="D85:K85">IF(D$73-$C$82&gt;0,((D$73-$C$82)*$C$79)/D$73,0)</f>
        <v>12322.603349971292</v>
      </c>
      <c r="E85" s="12">
        <f t="shared" si="40"/>
        <v>1854.185230490184</v>
      </c>
      <c r="F85" s="12">
        <f t="shared" si="40"/>
        <v>18311.684614948383</v>
      </c>
      <c r="G85" s="12">
        <f t="shared" si="40"/>
        <v>23904.05008425433</v>
      </c>
      <c r="H85" s="12">
        <f t="shared" si="40"/>
        <v>30162.130531379662</v>
      </c>
      <c r="I85" s="12">
        <f t="shared" si="40"/>
        <v>33037.41981836553</v>
      </c>
      <c r="J85" s="12">
        <f t="shared" si="40"/>
        <v>35309.93563082827</v>
      </c>
      <c r="K85" s="12">
        <f t="shared" si="40"/>
        <v>37148.25462834724</v>
      </c>
      <c r="M85" s="10" t="s">
        <v>110</v>
      </c>
      <c r="P85" s="40">
        <f>D82-C82</f>
        <v>8.48981471531096</v>
      </c>
    </row>
    <row r="86" spans="2:16" s="10" customFormat="1" ht="14.25">
      <c r="B86" s="10">
        <v>2011</v>
      </c>
      <c r="D86" s="12">
        <f>IF(D$73-$D$82&gt;0,((D$73-$D$82)*$D$79)/D$73,0)</f>
        <v>0</v>
      </c>
      <c r="E86" s="12">
        <f aca="true" t="shared" si="41" ref="E86:K86">IF(E$73-$D$82&gt;0,((E$73-$D$82)*$D$79)/E$73,0)</f>
        <v>0</v>
      </c>
      <c r="F86" s="12">
        <f t="shared" si="41"/>
        <v>1589.5687593830955</v>
      </c>
      <c r="G86" s="12">
        <f t="shared" si="41"/>
        <v>3073.844735574165</v>
      </c>
      <c r="H86" s="12">
        <f t="shared" si="41"/>
        <v>4734.808868859249</v>
      </c>
      <c r="I86" s="12">
        <f t="shared" si="41"/>
        <v>5497.9426155173205</v>
      </c>
      <c r="J86" s="12">
        <f t="shared" si="41"/>
        <v>6101.093579892939</v>
      </c>
      <c r="K86" s="12">
        <f t="shared" si="41"/>
        <v>6589.003881815979</v>
      </c>
      <c r="M86" s="10" t="s">
        <v>111</v>
      </c>
      <c r="P86" s="62">
        <f>P85*C79</f>
        <v>424490.735765548</v>
      </c>
    </row>
    <row r="87" spans="2:16" s="10" customFormat="1" ht="14.25">
      <c r="B87" s="10">
        <v>2012</v>
      </c>
      <c r="E87" s="12">
        <f>IF(E$73-$E$82&gt;0,((E$73-$E$82)*$E$79)/E$73,0)</f>
        <v>0</v>
      </c>
      <c r="F87" s="12">
        <f aca="true" t="shared" si="42" ref="F87:K87">IF(F$73-$E$82&gt;0,((F$73-$E$82)*$E$79)/F$73,0)</f>
        <v>3418.261683439314</v>
      </c>
      <c r="G87" s="12">
        <f t="shared" si="42"/>
        <v>4579.809264693984</v>
      </c>
      <c r="H87" s="12">
        <f t="shared" si="42"/>
        <v>5879.627426892475</v>
      </c>
      <c r="I87" s="12">
        <f t="shared" si="42"/>
        <v>6476.831836195931</v>
      </c>
      <c r="J87" s="12">
        <f t="shared" si="42"/>
        <v>6948.838764179609</v>
      </c>
      <c r="K87" s="12">
        <f t="shared" si="42"/>
        <v>7330.66198314882</v>
      </c>
      <c r="M87" s="10" t="s">
        <v>112</v>
      </c>
      <c r="P87" s="62">
        <f>P86/D82</f>
        <v>12322.603349971292</v>
      </c>
    </row>
    <row r="88" spans="2:16" s="10" customFormat="1" ht="14.25">
      <c r="B88" s="10">
        <v>2013</v>
      </c>
      <c r="F88" s="12">
        <f aca="true" t="shared" si="43" ref="F88:K88">IF(F$73-$F$82&gt;0,((F$73-$F$82)*$F$79)/F$73,0)</f>
        <v>0</v>
      </c>
      <c r="G88" s="12">
        <f t="shared" si="43"/>
        <v>1764.8036512360782</v>
      </c>
      <c r="H88" s="12">
        <f t="shared" si="43"/>
        <v>3739.6894635874223</v>
      </c>
      <c r="I88" s="12">
        <f t="shared" si="43"/>
        <v>4647.05523928348</v>
      </c>
      <c r="J88" s="12">
        <f t="shared" si="43"/>
        <v>5364.201539062726</v>
      </c>
      <c r="K88" s="12">
        <f t="shared" si="43"/>
        <v>5944.326728799431</v>
      </c>
      <c r="M88" s="10" t="s">
        <v>113</v>
      </c>
      <c r="P88" s="62">
        <f>C82*C79</f>
        <v>1297916.1441351061</v>
      </c>
    </row>
    <row r="89" spans="2:11" s="10" customFormat="1" ht="14.25">
      <c r="B89" s="10">
        <v>2014</v>
      </c>
      <c r="G89" s="12">
        <f>IF(G$73-$G$82&gt;0,((G$73-$G$82)*$G$79)/G$73,0)</f>
        <v>0</v>
      </c>
      <c r="H89" s="12">
        <f>IF(H$73-$G$82&gt;0,((H$73-$G$82)*$G$79)/H$73,0)</f>
        <v>2398.104099421708</v>
      </c>
      <c r="I89" s="12">
        <f>IF(I$73-$G$82&gt;0,((I$73-$G$82)*$G$79)/I$73,0)</f>
        <v>3499.918479150797</v>
      </c>
      <c r="J89" s="12">
        <f>IF(J$73-$G$82&gt;0,((J$73-$G$82)*$G$79)/J$73,0)</f>
        <v>4370.749324473491</v>
      </c>
      <c r="K89" s="12">
        <f>IF(K$73-$G$82&gt;0,((K$73-$G$82)*$G$79)/K$73,0)</f>
        <v>5075.195418006866</v>
      </c>
    </row>
    <row r="90" spans="2:11" s="10" customFormat="1" ht="14.25">
      <c r="B90" s="10">
        <v>2015</v>
      </c>
      <c r="E90" s="40"/>
      <c r="H90" s="12">
        <f>IF(H$73-$H$82&gt;0,((H$73-$H$82)*$H$79)/H$73,0)</f>
        <v>0</v>
      </c>
      <c r="I90" s="12">
        <f>IF(I$73-$H$82&gt;0,((I$73-$H$82)*$H$79)/I$73,0)</f>
        <v>1449.3941960521606</v>
      </c>
      <c r="J90" s="12">
        <f>IF(J$73-$H$82&gt;0,((J$73-$H$82)*$H$79)/J$73,0)</f>
        <v>2594.9384875182513</v>
      </c>
      <c r="K90" s="12">
        <f>IF(K$73-$H$82&gt;0,((K$73-$H$82)*$H$79)/K$73,0)</f>
        <v>3521.610074115204</v>
      </c>
    </row>
    <row r="91" spans="2:11" s="10" customFormat="1" ht="14.25">
      <c r="B91" s="10">
        <v>2016</v>
      </c>
      <c r="I91" s="12">
        <f>IF(I$73-$I$82&gt;0,((I$73-$I$82)*$I$79)/I$73,0)</f>
        <v>0</v>
      </c>
      <c r="J91" s="12">
        <f>IF(J$73-$I$82&gt;0,((J$73-$I$82)*$I$79)/J$73,0)</f>
        <v>1339.722959672857</v>
      </c>
      <c r="K91" s="12">
        <f>IF(K$73-$I$82&gt;0,((K$73-$I$82)*$I$79)/K$73,0)</f>
        <v>2423.4725884641944</v>
      </c>
    </row>
    <row r="92" spans="2:11" s="10" customFormat="1" ht="14.25">
      <c r="B92" s="10">
        <v>2017</v>
      </c>
      <c r="E92" s="12"/>
      <c r="J92" s="12">
        <f>IF(J$73-$J$82&gt;0,((J$73-$J$82)*$J$79)/J$73,0)</f>
        <v>0</v>
      </c>
      <c r="K92" s="12">
        <f>IF(K$73-$J$82&gt;0,((K$73-$J$82)*$J$79)/K$73,0)</f>
        <v>1251.4029559848798</v>
      </c>
    </row>
    <row r="93" spans="2:11" s="10" customFormat="1" ht="14.25">
      <c r="B93" s="10">
        <v>2018</v>
      </c>
      <c r="E93" s="12"/>
      <c r="J93" s="12"/>
      <c r="K93" s="12">
        <f>IF(K$73-$K$82&gt;0,((K$73-$K$82)*$K$79)/K$73,0)</f>
        <v>0</v>
      </c>
    </row>
    <row r="94" spans="1:11" s="10" customFormat="1" ht="14.25">
      <c r="A94" s="38" t="s">
        <v>94</v>
      </c>
      <c r="C94" s="41">
        <f>SUM(C85:C93)</f>
        <v>0</v>
      </c>
      <c r="D94" s="41">
        <f aca="true" t="shared" si="44" ref="D94:K94">SUM(D85:D93)</f>
        <v>12322.603349971292</v>
      </c>
      <c r="E94" s="41">
        <f t="shared" si="44"/>
        <v>1854.185230490184</v>
      </c>
      <c r="F94" s="41">
        <f t="shared" si="44"/>
        <v>23319.51505777079</v>
      </c>
      <c r="G94" s="41">
        <f t="shared" si="44"/>
        <v>33322.50773575856</v>
      </c>
      <c r="H94" s="41">
        <f t="shared" si="44"/>
        <v>46914.360390140515</v>
      </c>
      <c r="I94" s="41">
        <f t="shared" si="44"/>
        <v>54608.56218456522</v>
      </c>
      <c r="J94" s="41">
        <f t="shared" si="44"/>
        <v>62029.48028562815</v>
      </c>
      <c r="K94" s="41">
        <f t="shared" si="44"/>
        <v>69283.92825868263</v>
      </c>
    </row>
    <row r="95" spans="1:11" s="10" customFormat="1" ht="14.25">
      <c r="A95" s="38" t="s">
        <v>90</v>
      </c>
      <c r="C95" s="42">
        <f>C94*C73/1000</f>
        <v>0</v>
      </c>
      <c r="D95" s="42">
        <f aca="true" t="shared" si="45" ref="D95:K95">D94*D73/1000</f>
        <v>424.49073576554804</v>
      </c>
      <c r="E95" s="42">
        <f t="shared" si="45"/>
        <v>49.98517433739931</v>
      </c>
      <c r="F95" s="42">
        <f t="shared" si="45"/>
        <v>955.1399214222731</v>
      </c>
      <c r="G95" s="42">
        <f t="shared" si="45"/>
        <v>1657.3384334713219</v>
      </c>
      <c r="H95" s="42">
        <f t="shared" si="45"/>
        <v>3069.4276841801748</v>
      </c>
      <c r="I95" s="42">
        <f t="shared" si="45"/>
        <v>4178.452435207501</v>
      </c>
      <c r="J95" s="42">
        <f t="shared" si="45"/>
        <v>5480.511306947149</v>
      </c>
      <c r="K95" s="42">
        <f t="shared" si="45"/>
        <v>6997.082996554746</v>
      </c>
    </row>
    <row r="96" spans="3:11" s="10" customFormat="1" ht="14.25">
      <c r="C96" s="42"/>
      <c r="D96" s="46"/>
      <c r="E96" s="42"/>
      <c r="F96" s="42"/>
      <c r="G96" s="42"/>
      <c r="H96" s="42"/>
      <c r="I96" s="42"/>
      <c r="J96" s="42"/>
      <c r="K96" s="42"/>
    </row>
    <row r="97" spans="1:11" s="10" customFormat="1" ht="14.25">
      <c r="A97" s="38" t="s">
        <v>83</v>
      </c>
      <c r="B97" s="10">
        <v>2010</v>
      </c>
      <c r="C97" s="12">
        <f aca="true" t="shared" si="46" ref="C97:K97">IF(C$73-$C$83&gt;0,((C$73-$C$83)*$C$80)/C$73,0)</f>
        <v>0</v>
      </c>
      <c r="D97" s="12">
        <f t="shared" si="46"/>
        <v>4929.0413399885165</v>
      </c>
      <c r="E97" s="12">
        <f t="shared" si="46"/>
        <v>741.6740921960735</v>
      </c>
      <c r="F97" s="12">
        <f t="shared" si="46"/>
        <v>7324.673845979354</v>
      </c>
      <c r="G97" s="12">
        <f t="shared" si="46"/>
        <v>9561.620033701733</v>
      </c>
      <c r="H97" s="12">
        <f t="shared" si="46"/>
        <v>12064.852212551865</v>
      </c>
      <c r="I97" s="12">
        <f t="shared" si="46"/>
        <v>13214.967927346212</v>
      </c>
      <c r="J97" s="12">
        <f t="shared" si="46"/>
        <v>14123.97425233131</v>
      </c>
      <c r="K97" s="12">
        <f t="shared" si="46"/>
        <v>14859.301851338896</v>
      </c>
    </row>
    <row r="98" spans="2:11" s="10" customFormat="1" ht="14.25">
      <c r="B98" s="10">
        <v>2011</v>
      </c>
      <c r="D98" s="12">
        <f aca="true" t="shared" si="47" ref="D98:K98">IF(D$73-$D$83&gt;0,((D$73-$D$83)*$D$80)/D$73,0)</f>
        <v>0</v>
      </c>
      <c r="E98" s="12">
        <f t="shared" si="47"/>
        <v>0</v>
      </c>
      <c r="F98" s="12">
        <f t="shared" si="47"/>
        <v>794.7843796915478</v>
      </c>
      <c r="G98" s="12">
        <f t="shared" si="47"/>
        <v>1536.9223677870825</v>
      </c>
      <c r="H98" s="12">
        <f t="shared" si="47"/>
        <v>2367.4044344296244</v>
      </c>
      <c r="I98" s="12">
        <f t="shared" si="47"/>
        <v>2748.9713077586603</v>
      </c>
      <c r="J98" s="12">
        <f t="shared" si="47"/>
        <v>3050.5467899464693</v>
      </c>
      <c r="K98" s="12">
        <f t="shared" si="47"/>
        <v>3294.5019409079896</v>
      </c>
    </row>
    <row r="99" spans="2:11" s="10" customFormat="1" ht="14.25">
      <c r="B99" s="10">
        <v>2012</v>
      </c>
      <c r="E99" s="12">
        <f aca="true" t="shared" si="48" ref="E99:K99">IF(E$73-$E$83&gt;0,((E$73-$E$83)*$E$80)/E$73,0)</f>
        <v>0</v>
      </c>
      <c r="F99" s="12">
        <f t="shared" si="48"/>
        <v>1709.130841719657</v>
      </c>
      <c r="G99" s="12">
        <f t="shared" si="48"/>
        <v>2289.904632346992</v>
      </c>
      <c r="H99" s="12">
        <f t="shared" si="48"/>
        <v>2939.8137134462377</v>
      </c>
      <c r="I99" s="12">
        <f t="shared" si="48"/>
        <v>3238.4159180979655</v>
      </c>
      <c r="J99" s="12">
        <f t="shared" si="48"/>
        <v>3474.4193820898045</v>
      </c>
      <c r="K99" s="12">
        <f t="shared" si="48"/>
        <v>3665.33099157441</v>
      </c>
    </row>
    <row r="100" spans="2:11" s="10" customFormat="1" ht="14.25">
      <c r="B100" s="10">
        <v>2013</v>
      </c>
      <c r="F100" s="12">
        <f aca="true" t="shared" si="49" ref="F100:K100">IF(F$73-$F$83&gt;0,((F$73-$F$83)*$F$80)/F$73,0)</f>
        <v>0</v>
      </c>
      <c r="G100" s="12">
        <f t="shared" si="49"/>
        <v>882.4018256180391</v>
      </c>
      <c r="H100" s="12">
        <f t="shared" si="49"/>
        <v>1869.8447317937112</v>
      </c>
      <c r="I100" s="12">
        <f t="shared" si="49"/>
        <v>2323.52761964174</v>
      </c>
      <c r="J100" s="12">
        <f t="shared" si="49"/>
        <v>2682.100769531363</v>
      </c>
      <c r="K100" s="12">
        <f t="shared" si="49"/>
        <v>2972.1633643997156</v>
      </c>
    </row>
    <row r="101" spans="2:11" s="10" customFormat="1" ht="14.25">
      <c r="B101" s="10">
        <v>2014</v>
      </c>
      <c r="G101" s="12">
        <f>IF(G$73-$G$83&gt;0,((G$73-$G$83)*$G$80)/G$73,0)</f>
        <v>0</v>
      </c>
      <c r="H101" s="12">
        <f>IF(H$73-$G$83&gt;0,((H$73-$G$83)*$G$80)/H$73,0)</f>
        <v>1199.052049710854</v>
      </c>
      <c r="I101" s="12">
        <f>IF(I$73-$G$83&gt;0,((I$73-$G$83)*$G$80)/I$73,0)</f>
        <v>1749.9592395753984</v>
      </c>
      <c r="J101" s="12">
        <f>IF(J$73-$G$83&gt;0,((J$73-$G$83)*$G$80)/J$73,0)</f>
        <v>2185.3746622367453</v>
      </c>
      <c r="K101" s="12">
        <f>IF(K$73-$G$83&gt;0,((K$73-$G$83)*$G$80)/K$73,0)</f>
        <v>2537.597709003433</v>
      </c>
    </row>
    <row r="102" spans="2:11" s="10" customFormat="1" ht="14.25">
      <c r="B102" s="10">
        <v>2015</v>
      </c>
      <c r="E102" s="40"/>
      <c r="H102" s="12">
        <f>IF(H$73-$H$83&gt;0,((H$73-$H$83)*$H$80)/H$73,0)</f>
        <v>0</v>
      </c>
      <c r="I102" s="12">
        <f>IF(I$73-$H$83&gt;0,((I$73-$H$83)*$H$80)/I$73,0)</f>
        <v>724.6970980260803</v>
      </c>
      <c r="J102" s="12">
        <f>IF(J$73-$H$83&gt;0,((J$73-$H$83)*$H$80)/J$73,0)</f>
        <v>1297.4692437591257</v>
      </c>
      <c r="K102" s="12">
        <f>IF(K$73-$H$83&gt;0,((K$73-$H$83)*$H$80)/K$73,0)</f>
        <v>1760.805037057602</v>
      </c>
    </row>
    <row r="103" spans="2:11" s="10" customFormat="1" ht="14.25">
      <c r="B103" s="10">
        <v>2016</v>
      </c>
      <c r="I103" s="12">
        <f>IF(I$73-$I$83&gt;0,((I$73-$I$83)*$I$80)/I$73,0)</f>
        <v>0</v>
      </c>
      <c r="J103" s="12">
        <f>IF(J$73-$I$83&gt;0,((J$73-$I$83)*$I$80)/J$73,0)</f>
        <v>669.8614798364285</v>
      </c>
      <c r="K103" s="12">
        <f>IF(K$73-$I$83&gt;0,((K$73-$I$83)*$I$80)/K$73,0)</f>
        <v>1211.7362942320972</v>
      </c>
    </row>
    <row r="104" spans="2:11" s="10" customFormat="1" ht="14.25">
      <c r="B104" s="10">
        <v>2017</v>
      </c>
      <c r="E104" s="12"/>
      <c r="J104" s="12">
        <f>IF(J$73-$J$83&gt;0,((J$73-$J$83)*$J$80)/J$73,0)</f>
        <v>0</v>
      </c>
      <c r="K104" s="12">
        <f>IF(K$73-$J$83&gt;0,((K$73-$J$83)*$J$80)/K$73,0)</f>
        <v>625.7014779924399</v>
      </c>
    </row>
    <row r="105" spans="2:11" s="10" customFormat="1" ht="14.25">
      <c r="B105" s="10">
        <v>2018</v>
      </c>
      <c r="E105" s="12"/>
      <c r="J105" s="12"/>
      <c r="K105" s="12">
        <f>IF(K$73-$K$83&gt;0,((K$73-$K$83)*$K$80)/K$73,0)</f>
        <v>0</v>
      </c>
    </row>
    <row r="106" spans="1:11" s="10" customFormat="1" ht="14.25">
      <c r="A106" s="38" t="s">
        <v>94</v>
      </c>
      <c r="C106" s="41">
        <f aca="true" t="shared" si="50" ref="C106:K106">SUM(C97:C105)</f>
        <v>0</v>
      </c>
      <c r="D106" s="41">
        <f t="shared" si="50"/>
        <v>4929.0413399885165</v>
      </c>
      <c r="E106" s="41">
        <f t="shared" si="50"/>
        <v>741.6740921960735</v>
      </c>
      <c r="F106" s="41">
        <f t="shared" si="50"/>
        <v>9828.58906739056</v>
      </c>
      <c r="G106" s="41">
        <f t="shared" si="50"/>
        <v>14270.848859453847</v>
      </c>
      <c r="H106" s="41">
        <f t="shared" si="50"/>
        <v>20440.96714193229</v>
      </c>
      <c r="I106" s="41">
        <f t="shared" si="50"/>
        <v>24000.539110446054</v>
      </c>
      <c r="J106" s="41">
        <f t="shared" si="50"/>
        <v>27483.74657973125</v>
      </c>
      <c r="K106" s="41">
        <f t="shared" si="50"/>
        <v>30927.138666506584</v>
      </c>
    </row>
    <row r="107" spans="1:11" s="10" customFormat="1" ht="14.25">
      <c r="A107" s="38" t="s">
        <v>91</v>
      </c>
      <c r="C107" s="42">
        <f>C106*C73/1000</f>
        <v>0</v>
      </c>
      <c r="D107" s="42">
        <f aca="true" t="shared" si="51" ref="D107:K107">D106*D73/1000</f>
        <v>169.7962943062192</v>
      </c>
      <c r="E107" s="42">
        <f t="shared" si="51"/>
        <v>19.994069734959723</v>
      </c>
      <c r="F107" s="42">
        <f t="shared" si="51"/>
        <v>402.5674533223608</v>
      </c>
      <c r="G107" s="42">
        <f t="shared" si="51"/>
        <v>709.7793023438195</v>
      </c>
      <c r="H107" s="42">
        <f t="shared" si="51"/>
        <v>1337.3745248810874</v>
      </c>
      <c r="I107" s="42">
        <f t="shared" si="51"/>
        <v>1836.435662843384</v>
      </c>
      <c r="J107" s="42">
        <f t="shared" si="51"/>
        <v>2428.2806045432244</v>
      </c>
      <c r="K107" s="42">
        <f t="shared" si="51"/>
        <v>3123.3759622800394</v>
      </c>
    </row>
    <row r="108" spans="1:11" s="10" customFormat="1" ht="14.25">
      <c r="A108" s="38" t="s">
        <v>93</v>
      </c>
      <c r="C108" s="42">
        <f>C107*$C$164</f>
        <v>0</v>
      </c>
      <c r="D108" s="42">
        <f aca="true" t="shared" si="52" ref="D108:K108">D107*$C$164</f>
        <v>59.42870300717672</v>
      </c>
      <c r="E108" s="42">
        <f t="shared" si="52"/>
        <v>6.997924407235903</v>
      </c>
      <c r="F108" s="42">
        <f t="shared" si="52"/>
        <v>140.89860866282626</v>
      </c>
      <c r="G108" s="42">
        <f t="shared" si="52"/>
        <v>248.42275582033682</v>
      </c>
      <c r="H108" s="42">
        <f t="shared" si="52"/>
        <v>468.08108370838056</v>
      </c>
      <c r="I108" s="42">
        <f t="shared" si="52"/>
        <v>642.7524819951844</v>
      </c>
      <c r="J108" s="42">
        <f t="shared" si="52"/>
        <v>849.8982115901285</v>
      </c>
      <c r="K108" s="42">
        <f t="shared" si="52"/>
        <v>1093.1815867980138</v>
      </c>
    </row>
    <row r="109" spans="3:11" s="25" customFormat="1" ht="14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s="10" customFormat="1" ht="14.25">
      <c r="A110" s="10" t="s">
        <v>84</v>
      </c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s="10" customFormat="1" ht="14.25">
      <c r="A111" s="38" t="s">
        <v>85</v>
      </c>
      <c r="B111" s="11">
        <f>C59</f>
        <v>75000</v>
      </c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s="10" customFormat="1" ht="14.25">
      <c r="A112" s="38" t="s">
        <v>86</v>
      </c>
      <c r="B112" s="12">
        <f>-B20</f>
        <v>-55000</v>
      </c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s="10" customFormat="1" ht="14.25">
      <c r="A113" s="38" t="s">
        <v>87</v>
      </c>
      <c r="B113" s="41">
        <f>B112+B111</f>
        <v>20000</v>
      </c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s="10" customFormat="1" ht="14.25">
      <c r="A114" s="38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2:11" s="10" customFormat="1" ht="15" thickBot="1">
      <c r="B115" s="44">
        <v>40178</v>
      </c>
      <c r="C115" s="44">
        <v>40543</v>
      </c>
      <c r="D115" s="44">
        <v>40908</v>
      </c>
      <c r="E115" s="44">
        <v>41274</v>
      </c>
      <c r="F115" s="44">
        <v>41639</v>
      </c>
      <c r="G115" s="44">
        <v>42004</v>
      </c>
      <c r="H115" s="44">
        <v>42369</v>
      </c>
      <c r="I115" s="44">
        <v>42735</v>
      </c>
      <c r="J115" s="44">
        <v>43100</v>
      </c>
      <c r="K115" s="44">
        <v>43465</v>
      </c>
    </row>
    <row r="116" spans="2:11" s="10" customFormat="1" ht="14.25">
      <c r="B116" s="12">
        <f>-B113</f>
        <v>-20000</v>
      </c>
      <c r="C116" s="42">
        <f>C$73*C$68/1000</f>
        <v>25958.322882702123</v>
      </c>
      <c r="E116" s="42"/>
      <c r="F116" s="42"/>
      <c r="G116" s="42"/>
      <c r="H116" s="42"/>
      <c r="I116" s="42"/>
      <c r="J116" s="42"/>
      <c r="K116" s="42"/>
    </row>
    <row r="117" spans="2:11" s="10" customFormat="1" ht="14.25">
      <c r="B117" s="12">
        <f aca="true" t="shared" si="53" ref="B117:B124">B116</f>
        <v>-20000</v>
      </c>
      <c r="C117" s="42">
        <v>0</v>
      </c>
      <c r="D117" s="42">
        <f>D$73*D$68/1000</f>
        <v>34448.13759801308</v>
      </c>
      <c r="E117" s="42"/>
      <c r="F117" s="42"/>
      <c r="G117" s="42"/>
      <c r="H117" s="42"/>
      <c r="I117" s="42"/>
      <c r="J117" s="42"/>
      <c r="K117" s="42"/>
    </row>
    <row r="118" spans="2:11" s="10" customFormat="1" ht="14.25">
      <c r="B118" s="12">
        <f t="shared" si="53"/>
        <v>-20000</v>
      </c>
      <c r="C118" s="42">
        <v>0</v>
      </c>
      <c r="D118" s="42">
        <v>0</v>
      </c>
      <c r="E118" s="42">
        <f>E$73*E$68/1000</f>
        <v>26958.02636945011</v>
      </c>
      <c r="F118" s="42"/>
      <c r="G118" s="42"/>
      <c r="H118" s="42"/>
      <c r="I118" s="42"/>
      <c r="J118" s="42"/>
      <c r="K118" s="42"/>
    </row>
    <row r="119" spans="2:11" s="10" customFormat="1" ht="14.25">
      <c r="B119" s="12">
        <f t="shared" si="53"/>
        <v>-20000</v>
      </c>
      <c r="C119" s="42">
        <v>0</v>
      </c>
      <c r="D119" s="42">
        <v>0</v>
      </c>
      <c r="E119" s="42">
        <v>0</v>
      </c>
      <c r="F119" s="42">
        <f>F$73*F$68/1000</f>
        <v>40958.82436045731</v>
      </c>
      <c r="G119" s="42"/>
      <c r="H119" s="42"/>
      <c r="I119" s="42"/>
      <c r="J119" s="42"/>
      <c r="K119" s="42"/>
    </row>
    <row r="120" spans="2:11" s="10" customFormat="1" ht="14.25">
      <c r="B120" s="12">
        <f t="shared" si="53"/>
        <v>-20000</v>
      </c>
      <c r="C120" s="42">
        <v>0</v>
      </c>
      <c r="D120" s="42">
        <v>0</v>
      </c>
      <c r="E120" s="42">
        <v>0</v>
      </c>
      <c r="F120" s="42">
        <v>0</v>
      </c>
      <c r="G120" s="42">
        <f>G$73*G$68/1000</f>
        <v>49736.30576107041</v>
      </c>
      <c r="H120" s="42"/>
      <c r="I120" s="42"/>
      <c r="J120" s="42"/>
      <c r="K120" s="42"/>
    </row>
    <row r="121" spans="2:11" s="10" customFormat="1" ht="14.25">
      <c r="B121" s="12">
        <f t="shared" si="53"/>
        <v>-20000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f>H$73*H$68/1000</f>
        <v>65426.18632450211</v>
      </c>
      <c r="I121" s="42"/>
      <c r="J121" s="42"/>
      <c r="K121" s="42"/>
    </row>
    <row r="122" spans="2:11" s="10" customFormat="1" ht="14.25">
      <c r="B122" s="12">
        <f t="shared" si="53"/>
        <v>-20000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f>I$73*I$68/1000</f>
        <v>76516.43383477538</v>
      </c>
      <c r="J122" s="42"/>
      <c r="K122" s="42"/>
    </row>
    <row r="123" spans="2:11" s="10" customFormat="1" ht="14.25">
      <c r="B123" s="12">
        <f t="shared" si="53"/>
        <v>-20000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f>J$73*J$68/1000</f>
        <v>88353.33266877216</v>
      </c>
      <c r="K123" s="42"/>
    </row>
    <row r="124" spans="2:11" s="10" customFormat="1" ht="14.25">
      <c r="B124" s="12">
        <f t="shared" si="53"/>
        <v>-20000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f>K$73*K$68/1000</f>
        <v>100991.43008216881</v>
      </c>
    </row>
    <row r="125" spans="2:11" s="10" customFormat="1" ht="14.25">
      <c r="B125" s="1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s="10" customFormat="1" ht="14.25">
      <c r="A126" s="38" t="s">
        <v>88</v>
      </c>
      <c r="C126" s="45">
        <f>XIRR($B116:C116,$B$115:C$115)</f>
        <v>0.29791614413261425</v>
      </c>
      <c r="D126" s="45">
        <f>XIRR($B117:D117,$B$115:D$115)</f>
        <v>0.3124049961566926</v>
      </c>
      <c r="E126" s="45">
        <f>XIRR($B118:E118,$B$115:E$115)</f>
        <v>0.10453614592552188</v>
      </c>
      <c r="F126" s="45">
        <f>XIRR($B119:F119,$B$115:F$115)</f>
        <v>0.1961237132549286</v>
      </c>
      <c r="G126" s="45">
        <f>XIRR($B120:G120,$B$115:G$115)</f>
        <v>0.1997351229190826</v>
      </c>
      <c r="H126" s="45">
        <f>XIRR($B121:H121,$B$115:H$115)</f>
        <v>0.21828187108039857</v>
      </c>
      <c r="I126" s="45">
        <f>XIRR($B122:I122,$B$115:I$115)</f>
        <v>0.2111035525798798</v>
      </c>
      <c r="J126" s="45">
        <f>XIRR($B123:J123,$B$115:J$115)</f>
        <v>0.20390971302986147</v>
      </c>
      <c r="K126" s="45">
        <f>XIRR($B124:K124,$B$115:K$115)</f>
        <v>0.19699365496635438</v>
      </c>
    </row>
    <row r="127" spans="3:11" s="10" customFormat="1" ht="14.25">
      <c r="C127" s="42"/>
      <c r="E127" s="42"/>
      <c r="F127" s="42"/>
      <c r="G127" s="42"/>
      <c r="H127" s="42"/>
      <c r="I127" s="42"/>
      <c r="K127" s="42"/>
    </row>
    <row r="128" spans="1:16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ht="14.25">
      <c r="A129" s="26" t="s">
        <v>41</v>
      </c>
    </row>
    <row r="131" ht="14.25">
      <c r="A131" t="s">
        <v>42</v>
      </c>
    </row>
    <row r="132" spans="1:16" ht="14.25">
      <c r="A132" s="4" t="s">
        <v>43</v>
      </c>
      <c r="C132" s="1">
        <f>AVERAGE(B17:C17)*$C$167</f>
        <v>175.00000000000003</v>
      </c>
      <c r="D132" s="1">
        <f aca="true" t="shared" si="54" ref="D132:P132">AVERAGE(C17:D17)*$C$167</f>
        <v>0</v>
      </c>
      <c r="E132" s="1">
        <f t="shared" si="54"/>
        <v>0</v>
      </c>
      <c r="F132" s="1">
        <f t="shared" si="54"/>
        <v>0</v>
      </c>
      <c r="G132" s="1">
        <f t="shared" si="54"/>
        <v>0</v>
      </c>
      <c r="H132" s="1">
        <f t="shared" si="54"/>
        <v>0</v>
      </c>
      <c r="I132" s="1">
        <f t="shared" si="54"/>
        <v>0</v>
      </c>
      <c r="J132" s="1">
        <f t="shared" si="54"/>
        <v>0</v>
      </c>
      <c r="K132" s="1">
        <f t="shared" si="54"/>
        <v>0</v>
      </c>
      <c r="L132" s="1">
        <f t="shared" si="54"/>
        <v>0</v>
      </c>
      <c r="M132" s="1">
        <f t="shared" si="54"/>
        <v>0</v>
      </c>
      <c r="N132" s="1">
        <f t="shared" si="54"/>
        <v>0</v>
      </c>
      <c r="O132" s="1">
        <f t="shared" si="54"/>
        <v>0</v>
      </c>
      <c r="P132" s="1">
        <f t="shared" si="54"/>
        <v>0</v>
      </c>
    </row>
    <row r="133" spans="1:16" ht="14.25">
      <c r="A133" s="4" t="s">
        <v>44</v>
      </c>
      <c r="C133" s="1">
        <f>AVERAGE(B18:C18)*$C$168</f>
        <v>2228.5714285714284</v>
      </c>
      <c r="D133" s="1">
        <f aca="true" t="shared" si="55" ref="D133:P133">AVERAGE(C18:D18)*$C$168</f>
        <v>1885.7142857142858</v>
      </c>
      <c r="E133" s="1">
        <f t="shared" si="55"/>
        <v>1542.8571428571427</v>
      </c>
      <c r="F133" s="1">
        <f t="shared" si="55"/>
        <v>1199.9999999999998</v>
      </c>
      <c r="G133" s="1">
        <f t="shared" si="55"/>
        <v>857.142857142857</v>
      </c>
      <c r="H133" s="1">
        <f t="shared" si="55"/>
        <v>514.2857142857141</v>
      </c>
      <c r="I133" s="1">
        <f t="shared" si="55"/>
        <v>171.42857142857133</v>
      </c>
      <c r="J133" s="1">
        <f t="shared" si="55"/>
        <v>0</v>
      </c>
      <c r="K133" s="1">
        <f t="shared" si="55"/>
        <v>0</v>
      </c>
      <c r="L133" s="1">
        <f t="shared" si="55"/>
        <v>0</v>
      </c>
      <c r="M133" s="1">
        <f t="shared" si="55"/>
        <v>0</v>
      </c>
      <c r="N133" s="1">
        <f t="shared" si="55"/>
        <v>0</v>
      </c>
      <c r="O133" s="1">
        <f t="shared" si="55"/>
        <v>0</v>
      </c>
      <c r="P133" s="1">
        <f t="shared" si="55"/>
        <v>0</v>
      </c>
    </row>
    <row r="134" spans="1:16" ht="14.25">
      <c r="A134" s="4" t="s">
        <v>45</v>
      </c>
      <c r="C134" s="1">
        <f>AVERAGE(B19:C19)*$C$169</f>
        <v>2400</v>
      </c>
      <c r="D134" s="1">
        <f aca="true" t="shared" si="56" ref="D134:P134">AVERAGE(C19:D19)*$C$169</f>
        <v>2400</v>
      </c>
      <c r="E134" s="1">
        <f t="shared" si="56"/>
        <v>2400</v>
      </c>
      <c r="F134" s="1">
        <f t="shared" si="56"/>
        <v>2400</v>
      </c>
      <c r="G134" s="1">
        <f t="shared" si="56"/>
        <v>2400</v>
      </c>
      <c r="H134" s="1">
        <f t="shared" si="56"/>
        <v>2400</v>
      </c>
      <c r="I134" s="1">
        <f t="shared" si="56"/>
        <v>2400</v>
      </c>
      <c r="J134" s="1">
        <f t="shared" si="56"/>
        <v>2160</v>
      </c>
      <c r="K134" s="1">
        <f t="shared" si="56"/>
        <v>1680</v>
      </c>
      <c r="L134" s="1">
        <f t="shared" si="56"/>
        <v>1200</v>
      </c>
      <c r="M134" s="1">
        <f t="shared" si="56"/>
        <v>720</v>
      </c>
      <c r="N134" s="1">
        <f t="shared" si="56"/>
        <v>240</v>
      </c>
      <c r="O134" s="1">
        <f t="shared" si="56"/>
        <v>0</v>
      </c>
      <c r="P134" s="1">
        <f t="shared" si="56"/>
        <v>0</v>
      </c>
    </row>
    <row r="135" spans="1:16" ht="14.25">
      <c r="A135" s="23" t="s">
        <v>46</v>
      </c>
      <c r="C135" s="8">
        <f>SUM(C132:C134)</f>
        <v>4803.571428571428</v>
      </c>
      <c r="D135" s="8">
        <f aca="true" t="shared" si="57" ref="D135:P135">SUM(D132:D134)</f>
        <v>4285.714285714286</v>
      </c>
      <c r="E135" s="8">
        <f t="shared" si="57"/>
        <v>3942.8571428571427</v>
      </c>
      <c r="F135" s="8">
        <f t="shared" si="57"/>
        <v>3600</v>
      </c>
      <c r="G135" s="8">
        <f t="shared" si="57"/>
        <v>3257.142857142857</v>
      </c>
      <c r="H135" s="8">
        <f t="shared" si="57"/>
        <v>2914.285714285714</v>
      </c>
      <c r="I135" s="8">
        <f t="shared" si="57"/>
        <v>2571.4285714285716</v>
      </c>
      <c r="J135" s="8">
        <f t="shared" si="57"/>
        <v>2160</v>
      </c>
      <c r="K135" s="8">
        <f t="shared" si="57"/>
        <v>1680</v>
      </c>
      <c r="L135" s="8">
        <f t="shared" si="57"/>
        <v>1200</v>
      </c>
      <c r="M135" s="8">
        <f t="shared" si="57"/>
        <v>720</v>
      </c>
      <c r="N135" s="8">
        <f t="shared" si="57"/>
        <v>240</v>
      </c>
      <c r="O135" s="8">
        <f t="shared" si="57"/>
        <v>0</v>
      </c>
      <c r="P135" s="8">
        <f t="shared" si="57"/>
        <v>0</v>
      </c>
    </row>
    <row r="137" ht="14.25">
      <c r="A137" s="23" t="s">
        <v>47</v>
      </c>
    </row>
    <row r="138" spans="1:16" ht="14.25">
      <c r="A138" s="5" t="s">
        <v>48</v>
      </c>
      <c r="C138" s="1">
        <f>C34+C38+C42+C43+C44</f>
        <v>1864.2731735282532</v>
      </c>
      <c r="D138" s="1">
        <f aca="true" t="shared" si="58" ref="D138:P138">D34+D38+D42+D43+D44</f>
        <v>2686.9216997234644</v>
      </c>
      <c r="E138" s="1">
        <f t="shared" si="58"/>
        <v>1004.275232610692</v>
      </c>
      <c r="F138" s="1">
        <f t="shared" si="58"/>
        <v>2669.0707499110313</v>
      </c>
      <c r="G138" s="1">
        <f t="shared" si="58"/>
        <v>3399.149608934422</v>
      </c>
      <c r="H138" s="1">
        <f t="shared" si="58"/>
        <v>5112.168535761827</v>
      </c>
      <c r="I138" s="1">
        <f t="shared" si="58"/>
        <v>5955.997217316474</v>
      </c>
      <c r="J138" s="1">
        <f t="shared" si="58"/>
        <v>7166.036684640692</v>
      </c>
      <c r="K138" s="1">
        <f t="shared" si="58"/>
        <v>8172.850568212467</v>
      </c>
      <c r="L138" s="1">
        <f t="shared" si="58"/>
        <v>9218.583353457894</v>
      </c>
      <c r="M138" s="1">
        <f t="shared" si="58"/>
        <v>10305.106501737278</v>
      </c>
      <c r="N138" s="1">
        <f t="shared" si="58"/>
        <v>11434.384561756131</v>
      </c>
      <c r="O138" s="1">
        <f t="shared" si="58"/>
        <v>16465.013555402526</v>
      </c>
      <c r="P138" s="1">
        <f t="shared" si="58"/>
        <v>17398.222820879346</v>
      </c>
    </row>
    <row r="139" spans="1:16" ht="14.25">
      <c r="A139" s="5" t="s">
        <v>49</v>
      </c>
      <c r="C139" s="1">
        <f>C49</f>
        <v>5000</v>
      </c>
      <c r="D139" s="1">
        <f aca="true" t="shared" si="59" ref="D139:P139">D49</f>
        <v>1864.2731735282523</v>
      </c>
      <c r="E139" s="1">
        <f t="shared" si="59"/>
        <v>4551.194873251717</v>
      </c>
      <c r="F139" s="1">
        <f t="shared" si="59"/>
        <v>5555.470105862409</v>
      </c>
      <c r="G139" s="1">
        <f t="shared" si="59"/>
        <v>8224.54085577344</v>
      </c>
      <c r="H139" s="1">
        <f t="shared" si="59"/>
        <v>11623.690464707863</v>
      </c>
      <c r="I139" s="1">
        <f t="shared" si="59"/>
        <v>16735.85900046969</v>
      </c>
      <c r="J139" s="1">
        <f t="shared" si="59"/>
        <v>22691.856217786164</v>
      </c>
      <c r="K139" s="1">
        <f t="shared" si="59"/>
        <v>29857.89290242686</v>
      </c>
      <c r="L139" s="1">
        <f t="shared" si="59"/>
        <v>38030.743470639325</v>
      </c>
      <c r="M139" s="1">
        <f t="shared" si="59"/>
        <v>47249.32682409722</v>
      </c>
      <c r="N139" s="1">
        <f t="shared" si="59"/>
        <v>57554.4333258345</v>
      </c>
      <c r="O139" s="1">
        <f t="shared" si="59"/>
        <v>68988.81788759063</v>
      </c>
      <c r="P139" s="1">
        <f t="shared" si="59"/>
        <v>85453.83144299316</v>
      </c>
    </row>
    <row r="140" spans="1:16" ht="14.25">
      <c r="A140" s="4" t="s">
        <v>50</v>
      </c>
      <c r="C140" s="8">
        <f>SUM(C138:C139)</f>
        <v>6864.273173528253</v>
      </c>
      <c r="D140" s="8">
        <f aca="true" t="shared" si="60" ref="D140:P140">SUM(D138:D139)</f>
        <v>4551.194873251717</v>
      </c>
      <c r="E140" s="8">
        <f t="shared" si="60"/>
        <v>5555.470105862409</v>
      </c>
      <c r="F140" s="8">
        <f t="shared" si="60"/>
        <v>8224.54085577344</v>
      </c>
      <c r="G140" s="8">
        <f t="shared" si="60"/>
        <v>11623.690464707863</v>
      </c>
      <c r="H140" s="8">
        <f t="shared" si="60"/>
        <v>16735.85900046969</v>
      </c>
      <c r="I140" s="8">
        <f t="shared" si="60"/>
        <v>22691.856217786164</v>
      </c>
      <c r="J140" s="8">
        <f t="shared" si="60"/>
        <v>29857.89290242686</v>
      </c>
      <c r="K140" s="8">
        <f t="shared" si="60"/>
        <v>38030.743470639325</v>
      </c>
      <c r="L140" s="8">
        <f t="shared" si="60"/>
        <v>47249.32682409722</v>
      </c>
      <c r="M140" s="8">
        <f t="shared" si="60"/>
        <v>57554.4333258345</v>
      </c>
      <c r="N140" s="8">
        <f t="shared" si="60"/>
        <v>68988.81788759063</v>
      </c>
      <c r="O140" s="8">
        <f t="shared" si="60"/>
        <v>85453.83144299316</v>
      </c>
      <c r="P140" s="8">
        <f t="shared" si="60"/>
        <v>102852.0542638725</v>
      </c>
    </row>
    <row r="141" spans="1:16" ht="14.25">
      <c r="A141" s="5" t="s">
        <v>51</v>
      </c>
      <c r="C141" s="1">
        <f>IF(C140&gt;$C$174,-$C$174,0)</f>
        <v>-1000</v>
      </c>
      <c r="D141" s="1">
        <f aca="true" t="shared" si="61" ref="D141:P141">IF(D140&gt;$C$174,-$C$174,0)</f>
        <v>-1000</v>
      </c>
      <c r="E141" s="1">
        <f t="shared" si="61"/>
        <v>-1000</v>
      </c>
      <c r="F141" s="1">
        <f t="shared" si="61"/>
        <v>-1000</v>
      </c>
      <c r="G141" s="1">
        <f t="shared" si="61"/>
        <v>-1000</v>
      </c>
      <c r="H141" s="1">
        <f t="shared" si="61"/>
        <v>-1000</v>
      </c>
      <c r="I141" s="1">
        <f t="shared" si="61"/>
        <v>-1000</v>
      </c>
      <c r="J141" s="1">
        <f t="shared" si="61"/>
        <v>-1000</v>
      </c>
      <c r="K141" s="1">
        <f t="shared" si="61"/>
        <v>-1000</v>
      </c>
      <c r="L141" s="1">
        <f t="shared" si="61"/>
        <v>-1000</v>
      </c>
      <c r="M141" s="1">
        <f t="shared" si="61"/>
        <v>-1000</v>
      </c>
      <c r="N141" s="1">
        <f t="shared" si="61"/>
        <v>-1000</v>
      </c>
      <c r="O141" s="1">
        <f t="shared" si="61"/>
        <v>-1000</v>
      </c>
      <c r="P141" s="1">
        <f t="shared" si="61"/>
        <v>-1000</v>
      </c>
    </row>
    <row r="142" spans="1:16" ht="14.25">
      <c r="A142" s="4" t="s">
        <v>52</v>
      </c>
      <c r="C142" s="8">
        <f>C140+C141</f>
        <v>5864.273173528253</v>
      </c>
      <c r="D142" s="8">
        <f aca="true" t="shared" si="62" ref="D142:P142">D140+D141</f>
        <v>3551.1948732517167</v>
      </c>
      <c r="E142" s="8">
        <f t="shared" si="62"/>
        <v>4555.470105862409</v>
      </c>
      <c r="F142" s="8">
        <f t="shared" si="62"/>
        <v>7224.540855773441</v>
      </c>
      <c r="G142" s="8">
        <f t="shared" si="62"/>
        <v>10623.690464707863</v>
      </c>
      <c r="H142" s="8">
        <f t="shared" si="62"/>
        <v>15735.859000469689</v>
      </c>
      <c r="I142" s="8">
        <f t="shared" si="62"/>
        <v>21691.856217786164</v>
      </c>
      <c r="J142" s="8">
        <f t="shared" si="62"/>
        <v>28857.89290242686</v>
      </c>
      <c r="K142" s="8">
        <f t="shared" si="62"/>
        <v>37030.743470639325</v>
      </c>
      <c r="L142" s="8">
        <f t="shared" si="62"/>
        <v>46249.32682409722</v>
      </c>
      <c r="M142" s="8">
        <f t="shared" si="62"/>
        <v>56554.4333258345</v>
      </c>
      <c r="N142" s="8">
        <f t="shared" si="62"/>
        <v>67988.81788759063</v>
      </c>
      <c r="O142" s="8">
        <f t="shared" si="62"/>
        <v>84453.83144299316</v>
      </c>
      <c r="P142" s="8">
        <f t="shared" si="62"/>
        <v>101852.0542638725</v>
      </c>
    </row>
    <row r="144" spans="1:16" ht="14.25">
      <c r="A144" s="4" t="s">
        <v>53</v>
      </c>
      <c r="C144" s="1">
        <f>B17</f>
        <v>5000</v>
      </c>
      <c r="D144" s="1">
        <f aca="true" t="shared" si="63" ref="D144:P144">C17</f>
        <v>0</v>
      </c>
      <c r="E144" s="1">
        <f t="shared" si="63"/>
        <v>0</v>
      </c>
      <c r="F144" s="1">
        <f t="shared" si="63"/>
        <v>0</v>
      </c>
      <c r="G144" s="1">
        <f t="shared" si="63"/>
        <v>0</v>
      </c>
      <c r="H144" s="1">
        <f t="shared" si="63"/>
        <v>0</v>
      </c>
      <c r="I144" s="1">
        <f t="shared" si="63"/>
        <v>0</v>
      </c>
      <c r="J144" s="1">
        <f t="shared" si="63"/>
        <v>0</v>
      </c>
      <c r="K144" s="1">
        <f t="shared" si="63"/>
        <v>0</v>
      </c>
      <c r="L144" s="1">
        <f t="shared" si="63"/>
        <v>0</v>
      </c>
      <c r="M144" s="1">
        <f t="shared" si="63"/>
        <v>0</v>
      </c>
      <c r="N144" s="1">
        <f t="shared" si="63"/>
        <v>0</v>
      </c>
      <c r="O144" s="1">
        <f t="shared" si="63"/>
        <v>0</v>
      </c>
      <c r="P144" s="1">
        <f t="shared" si="63"/>
        <v>0</v>
      </c>
    </row>
    <row r="145" spans="1:16" ht="15">
      <c r="A145" s="27" t="s">
        <v>54</v>
      </c>
      <c r="B145" s="2"/>
      <c r="C145" s="19">
        <f>-IF(C142&gt;C144,C144,C142)</f>
        <v>-5000</v>
      </c>
      <c r="D145" s="19">
        <f aca="true" t="shared" si="64" ref="D145:P145">-IF(D142&gt;D144,D144,D142)</f>
        <v>0</v>
      </c>
      <c r="E145" s="19">
        <f t="shared" si="64"/>
        <v>0</v>
      </c>
      <c r="F145" s="19">
        <f t="shared" si="64"/>
        <v>0</v>
      </c>
      <c r="G145" s="19">
        <f t="shared" si="64"/>
        <v>0</v>
      </c>
      <c r="H145" s="19">
        <f t="shared" si="64"/>
        <v>0</v>
      </c>
      <c r="I145" s="19">
        <f t="shared" si="64"/>
        <v>0</v>
      </c>
      <c r="J145" s="19">
        <f t="shared" si="64"/>
        <v>0</v>
      </c>
      <c r="K145" s="19">
        <f t="shared" si="64"/>
        <v>0</v>
      </c>
      <c r="L145" s="19">
        <f t="shared" si="64"/>
        <v>0</v>
      </c>
      <c r="M145" s="19">
        <f t="shared" si="64"/>
        <v>0</v>
      </c>
      <c r="N145" s="19">
        <f t="shared" si="64"/>
        <v>0</v>
      </c>
      <c r="O145" s="19">
        <f t="shared" si="64"/>
        <v>0</v>
      </c>
      <c r="P145" s="19">
        <f t="shared" si="64"/>
        <v>0</v>
      </c>
    </row>
    <row r="148" spans="1:16" ht="14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="10" customFormat="1" ht="14.25">
      <c r="A149" s="28" t="s">
        <v>55</v>
      </c>
    </row>
    <row r="150" s="10" customFormat="1" ht="15">
      <c r="A150" s="29" t="str">
        <f>IF(SUM(C155:P155)+SUM(C159:P159)&gt;0,"Credit Failure")</f>
        <v>Credit Failure</v>
      </c>
    </row>
    <row r="151" s="10" customFormat="1" ht="15">
      <c r="A151" s="29"/>
    </row>
    <row r="152" spans="1:16" s="10" customFormat="1" ht="14.25">
      <c r="A152" s="10" t="s">
        <v>56</v>
      </c>
      <c r="C152" s="12">
        <f>C17</f>
        <v>0</v>
      </c>
      <c r="D152" s="12">
        <f aca="true" t="shared" si="65" ref="D152:P152">D17</f>
        <v>0</v>
      </c>
      <c r="E152" s="12">
        <f t="shared" si="65"/>
        <v>0</v>
      </c>
      <c r="F152" s="12">
        <f t="shared" si="65"/>
        <v>0</v>
      </c>
      <c r="G152" s="12">
        <f t="shared" si="65"/>
        <v>0</v>
      </c>
      <c r="H152" s="12">
        <f t="shared" si="65"/>
        <v>0</v>
      </c>
      <c r="I152" s="12">
        <f t="shared" si="65"/>
        <v>0</v>
      </c>
      <c r="J152" s="12">
        <f t="shared" si="65"/>
        <v>0</v>
      </c>
      <c r="K152" s="12">
        <f t="shared" si="65"/>
        <v>0</v>
      </c>
      <c r="L152" s="12">
        <f t="shared" si="65"/>
        <v>0</v>
      </c>
      <c r="M152" s="12">
        <f t="shared" si="65"/>
        <v>0</v>
      </c>
      <c r="N152" s="12">
        <f t="shared" si="65"/>
        <v>0</v>
      </c>
      <c r="O152" s="12">
        <f t="shared" si="65"/>
        <v>0</v>
      </c>
      <c r="P152" s="12">
        <f t="shared" si="65"/>
        <v>0</v>
      </c>
    </row>
    <row r="153" spans="1:16" s="10" customFormat="1" ht="14.25">
      <c r="A153" s="10" t="s">
        <v>57</v>
      </c>
      <c r="C153" s="12">
        <f>$B$17</f>
        <v>5000</v>
      </c>
      <c r="D153" s="12">
        <f aca="true" t="shared" si="66" ref="D153:P153">$B$17</f>
        <v>5000</v>
      </c>
      <c r="E153" s="12">
        <f t="shared" si="66"/>
        <v>5000</v>
      </c>
      <c r="F153" s="12">
        <f t="shared" si="66"/>
        <v>5000</v>
      </c>
      <c r="G153" s="12">
        <f t="shared" si="66"/>
        <v>5000</v>
      </c>
      <c r="H153" s="12">
        <f t="shared" si="66"/>
        <v>5000</v>
      </c>
      <c r="I153" s="12">
        <f t="shared" si="66"/>
        <v>5000</v>
      </c>
      <c r="J153" s="12">
        <f t="shared" si="66"/>
        <v>5000</v>
      </c>
      <c r="K153" s="12">
        <f t="shared" si="66"/>
        <v>5000</v>
      </c>
      <c r="L153" s="12">
        <f t="shared" si="66"/>
        <v>5000</v>
      </c>
      <c r="M153" s="12">
        <f t="shared" si="66"/>
        <v>5000</v>
      </c>
      <c r="N153" s="12">
        <f t="shared" si="66"/>
        <v>5000</v>
      </c>
      <c r="O153" s="12">
        <f t="shared" si="66"/>
        <v>5000</v>
      </c>
      <c r="P153" s="12">
        <f t="shared" si="66"/>
        <v>5000</v>
      </c>
    </row>
    <row r="154" spans="3:16" s="10" customFormat="1" ht="14.25">
      <c r="C154" s="30">
        <f>IF(C152&gt;C153,"Overdraw","")</f>
      </c>
      <c r="D154" s="30">
        <f aca="true" t="shared" si="67" ref="D154:P154">IF(D152&gt;D153,"Overdraw","")</f>
      </c>
      <c r="E154" s="30">
        <f t="shared" si="67"/>
      </c>
      <c r="F154" s="30">
        <f t="shared" si="67"/>
      </c>
      <c r="G154" s="30">
        <f t="shared" si="67"/>
      </c>
      <c r="H154" s="30">
        <f t="shared" si="67"/>
      </c>
      <c r="I154" s="30">
        <f t="shared" si="67"/>
      </c>
      <c r="J154" s="30">
        <f t="shared" si="67"/>
      </c>
      <c r="K154" s="30">
        <f t="shared" si="67"/>
      </c>
      <c r="L154" s="30">
        <f t="shared" si="67"/>
      </c>
      <c r="M154" s="30">
        <f t="shared" si="67"/>
      </c>
      <c r="N154" s="30">
        <f t="shared" si="67"/>
      </c>
      <c r="O154" s="30">
        <f t="shared" si="67"/>
      </c>
      <c r="P154" s="30">
        <f t="shared" si="67"/>
      </c>
    </row>
    <row r="155" spans="3:16" s="10" customFormat="1" ht="14.25">
      <c r="C155" s="31">
        <f>IF(C154&lt;&gt;"",1,0)</f>
        <v>0</v>
      </c>
      <c r="D155" s="31">
        <f aca="true" t="shared" si="68" ref="D155:P155">IF(D154&lt;&gt;"",1,0)</f>
        <v>0</v>
      </c>
      <c r="E155" s="31">
        <f t="shared" si="68"/>
        <v>0</v>
      </c>
      <c r="F155" s="31">
        <f t="shared" si="68"/>
        <v>0</v>
      </c>
      <c r="G155" s="31">
        <f t="shared" si="68"/>
        <v>0</v>
      </c>
      <c r="H155" s="31">
        <f t="shared" si="68"/>
        <v>0</v>
      </c>
      <c r="I155" s="31">
        <f t="shared" si="68"/>
        <v>0</v>
      </c>
      <c r="J155" s="31">
        <f t="shared" si="68"/>
        <v>0</v>
      </c>
      <c r="K155" s="31">
        <f t="shared" si="68"/>
        <v>0</v>
      </c>
      <c r="L155" s="31">
        <f t="shared" si="68"/>
        <v>0</v>
      </c>
      <c r="M155" s="31">
        <f t="shared" si="68"/>
        <v>0</v>
      </c>
      <c r="N155" s="31">
        <f t="shared" si="68"/>
        <v>0</v>
      </c>
      <c r="O155" s="31">
        <f t="shared" si="68"/>
        <v>0</v>
      </c>
      <c r="P155" s="31">
        <f t="shared" si="68"/>
        <v>0</v>
      </c>
    </row>
    <row r="156" spans="1:16" s="10" customFormat="1" ht="14.25">
      <c r="A156" s="10" t="s">
        <v>58</v>
      </c>
      <c r="C156" s="32">
        <f>C20/C5</f>
        <v>3.0476190476190474</v>
      </c>
      <c r="D156" s="32">
        <f aca="true" t="shared" si="69" ref="D156:P156">D20/D5</f>
        <v>2.630385487528345</v>
      </c>
      <c r="E156" s="32">
        <f t="shared" si="69"/>
        <v>2.9017857142857144</v>
      </c>
      <c r="F156" s="32">
        <f t="shared" si="69"/>
        <v>2.1904761904761902</v>
      </c>
      <c r="G156" s="32">
        <f t="shared" si="69"/>
        <v>1.8140589569160996</v>
      </c>
      <c r="H156" s="32">
        <f t="shared" si="69"/>
        <v>1.349206349206349</v>
      </c>
      <c r="I156" s="32">
        <f t="shared" si="69"/>
        <v>1.0582010582010581</v>
      </c>
      <c r="J156" s="32">
        <f t="shared" si="69"/>
        <v>0.8062484252960443</v>
      </c>
      <c r="K156" s="32">
        <f t="shared" si="69"/>
        <v>0.5758917323543173</v>
      </c>
      <c r="L156" s="32">
        <f t="shared" si="69"/>
        <v>0.36564554435194757</v>
      </c>
      <c r="M156" s="32">
        <f t="shared" si="69"/>
        <v>0.17411692588187977</v>
      </c>
      <c r="N156" s="32">
        <f t="shared" si="69"/>
        <v>0</v>
      </c>
      <c r="O156" s="32">
        <f t="shared" si="69"/>
        <v>0</v>
      </c>
      <c r="P156" s="32">
        <f t="shared" si="69"/>
        <v>0</v>
      </c>
    </row>
    <row r="157" spans="1:16" s="10" customFormat="1" ht="14.25">
      <c r="A157" s="33" t="s">
        <v>59</v>
      </c>
      <c r="B157" s="28"/>
      <c r="C157" s="34">
        <v>2.75</v>
      </c>
      <c r="D157" s="34">
        <v>2.75</v>
      </c>
      <c r="E157" s="34">
        <v>2.75</v>
      </c>
      <c r="F157" s="34">
        <v>2.75</v>
      </c>
      <c r="G157" s="34">
        <v>2.75</v>
      </c>
      <c r="H157" s="34">
        <v>2.75</v>
      </c>
      <c r="I157" s="34">
        <v>2.75</v>
      </c>
      <c r="J157" s="34">
        <v>2.75</v>
      </c>
      <c r="K157" s="34">
        <v>2.75</v>
      </c>
      <c r="L157" s="34">
        <v>2.75</v>
      </c>
      <c r="M157" s="34">
        <v>2.75</v>
      </c>
      <c r="N157" s="34">
        <v>2.75</v>
      </c>
      <c r="O157" s="34">
        <v>2.75</v>
      </c>
      <c r="P157" s="34">
        <v>2.75</v>
      </c>
    </row>
    <row r="158" spans="3:16" s="10" customFormat="1" ht="14.25">
      <c r="C158" s="30" t="str">
        <f>IF(C156&gt;C157,"Bust","")</f>
        <v>Bust</v>
      </c>
      <c r="D158" s="30">
        <f aca="true" t="shared" si="70" ref="D158:P158">IF(D156&gt;D157,"Bust","")</f>
      </c>
      <c r="E158" s="30" t="str">
        <f t="shared" si="70"/>
        <v>Bust</v>
      </c>
      <c r="F158" s="30">
        <f t="shared" si="70"/>
      </c>
      <c r="G158" s="30">
        <f t="shared" si="70"/>
      </c>
      <c r="H158" s="30">
        <f t="shared" si="70"/>
      </c>
      <c r="I158" s="30">
        <f t="shared" si="70"/>
      </c>
      <c r="J158" s="30">
        <f t="shared" si="70"/>
      </c>
      <c r="K158" s="30">
        <f t="shared" si="70"/>
      </c>
      <c r="L158" s="30">
        <f t="shared" si="70"/>
      </c>
      <c r="M158" s="30">
        <f t="shared" si="70"/>
      </c>
      <c r="N158" s="30">
        <f t="shared" si="70"/>
      </c>
      <c r="O158" s="30">
        <f t="shared" si="70"/>
      </c>
      <c r="P158" s="30">
        <f t="shared" si="70"/>
      </c>
    </row>
    <row r="159" spans="3:16" s="10" customFormat="1" ht="14.25">
      <c r="C159" s="31">
        <f>IF(C158&lt;&gt;"",1,0)</f>
        <v>1</v>
      </c>
      <c r="D159" s="31">
        <f aca="true" t="shared" si="71" ref="D159:P159">IF(D158&lt;&gt;"",1,0)</f>
        <v>0</v>
      </c>
      <c r="E159" s="31">
        <f t="shared" si="71"/>
        <v>1</v>
      </c>
      <c r="F159" s="31">
        <f t="shared" si="71"/>
        <v>0</v>
      </c>
      <c r="G159" s="31">
        <f t="shared" si="71"/>
        <v>0</v>
      </c>
      <c r="H159" s="31">
        <f t="shared" si="71"/>
        <v>0</v>
      </c>
      <c r="I159" s="31">
        <f t="shared" si="71"/>
        <v>0</v>
      </c>
      <c r="J159" s="31">
        <f t="shared" si="71"/>
        <v>0</v>
      </c>
      <c r="K159" s="31">
        <f t="shared" si="71"/>
        <v>0</v>
      </c>
      <c r="L159" s="31">
        <f t="shared" si="71"/>
        <v>0</v>
      </c>
      <c r="M159" s="31">
        <f t="shared" si="71"/>
        <v>0</v>
      </c>
      <c r="N159" s="31">
        <f t="shared" si="71"/>
        <v>0</v>
      </c>
      <c r="O159" s="31">
        <f t="shared" si="71"/>
        <v>0</v>
      </c>
      <c r="P159" s="31">
        <f t="shared" si="71"/>
        <v>0</v>
      </c>
    </row>
    <row r="160" s="10" customFormat="1" ht="14.25"/>
    <row r="161" s="10" customFormat="1" ht="14.25"/>
    <row r="162" spans="1:16" ht="14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2" ht="14.25">
      <c r="A163" s="26" t="s">
        <v>60</v>
      </c>
      <c r="B163" s="26"/>
    </row>
    <row r="164" spans="1:3" ht="14.25">
      <c r="A164" t="s">
        <v>61</v>
      </c>
      <c r="C164" s="35">
        <v>0.35</v>
      </c>
    </row>
    <row r="166" spans="1:3" ht="14.25">
      <c r="A166" t="s">
        <v>62</v>
      </c>
      <c r="C166" s="35">
        <v>0.01</v>
      </c>
    </row>
    <row r="167" spans="1:3" ht="14.25">
      <c r="A167" t="s">
        <v>43</v>
      </c>
      <c r="C167" s="35">
        <v>0.07</v>
      </c>
    </row>
    <row r="168" spans="1:3" ht="14.25">
      <c r="A168" t="s">
        <v>44</v>
      </c>
      <c r="C168" s="35">
        <v>0.08</v>
      </c>
    </row>
    <row r="169" spans="1:3" ht="14.25">
      <c r="A169" t="s">
        <v>45</v>
      </c>
      <c r="C169" s="35">
        <v>0.12</v>
      </c>
    </row>
    <row r="171" spans="1:4" ht="14.25">
      <c r="A171" t="s">
        <v>63</v>
      </c>
      <c r="C171" s="11">
        <v>7</v>
      </c>
      <c r="D171" t="s">
        <v>64</v>
      </c>
    </row>
    <row r="172" spans="1:4" ht="14.25">
      <c r="A172" t="s">
        <v>65</v>
      </c>
      <c r="C172" s="11">
        <v>5</v>
      </c>
      <c r="D172" t="s">
        <v>66</v>
      </c>
    </row>
    <row r="174" spans="1:3" ht="14.25">
      <c r="A174" t="s">
        <v>67</v>
      </c>
      <c r="C174" s="11">
        <v>1000</v>
      </c>
    </row>
  </sheetData>
  <sheetProtection/>
  <printOptions/>
  <pageMargins left="0.7" right="0.7" top="0.75" bottom="0.75" header="0.3" footer="0.3"/>
  <pageSetup horizontalDpi="600" verticalDpi="600" orientation="landscape" scale="56" r:id="rId1"/>
  <headerFooter>
    <oddFooter>&amp;L&amp;F &amp;D &amp;T&amp;R&amp;P &amp;N</oddFooter>
  </headerFooter>
  <rowBreaks count="2" manualBreakCount="2">
    <brk id="64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6"/>
  <sheetViews>
    <sheetView zoomScalePageLayoutView="0" workbookViewId="0" topLeftCell="A26">
      <selection activeCell="A58" sqref="A58"/>
    </sheetView>
  </sheetViews>
  <sheetFormatPr defaultColWidth="9.00390625" defaultRowHeight="14.25"/>
  <cols>
    <col min="1" max="1" width="48.25390625" style="0" customWidth="1"/>
    <col min="2" max="2" width="11.125" style="0" customWidth="1"/>
    <col min="3" max="7" width="10.125" style="0" customWidth="1"/>
    <col min="8" max="11" width="9.875" style="0" customWidth="1"/>
    <col min="12" max="16" width="10.00390625" style="0" customWidth="1"/>
  </cols>
  <sheetData>
    <row r="1" ht="14.25">
      <c r="A1" s="13" t="s">
        <v>89</v>
      </c>
    </row>
    <row r="2" spans="1:16" ht="14.25">
      <c r="A2" s="14" t="s">
        <v>10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</row>
    <row r="3" spans="2:16" ht="15" thickBot="1">
      <c r="B3" s="16">
        <v>2009</v>
      </c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16">
        <v>2017</v>
      </c>
      <c r="K3" s="16">
        <v>2018</v>
      </c>
      <c r="L3" s="16">
        <v>2019</v>
      </c>
      <c r="M3" s="16">
        <v>2020</v>
      </c>
      <c r="N3" s="16">
        <v>2021</v>
      </c>
      <c r="O3" s="16">
        <v>2022</v>
      </c>
      <c r="P3" s="16">
        <v>2023</v>
      </c>
    </row>
    <row r="5" spans="1:16" ht="15">
      <c r="A5" s="17" t="s">
        <v>68</v>
      </c>
      <c r="B5" s="17"/>
      <c r="C5" s="18">
        <v>15000</v>
      </c>
      <c r="D5" s="18">
        <f>C5*1.05</f>
        <v>15750</v>
      </c>
      <c r="E5" s="18">
        <v>12800</v>
      </c>
      <c r="F5" s="18">
        <v>15000</v>
      </c>
      <c r="G5" s="18">
        <f aca="true" t="shared" si="0" ref="G5:P5">F5*1.05</f>
        <v>15750</v>
      </c>
      <c r="H5" s="18">
        <v>18000</v>
      </c>
      <c r="I5" s="18">
        <f t="shared" si="0"/>
        <v>18900</v>
      </c>
      <c r="J5" s="18">
        <f t="shared" si="0"/>
        <v>19845</v>
      </c>
      <c r="K5" s="18">
        <f t="shared" si="0"/>
        <v>20837.25</v>
      </c>
      <c r="L5" s="18">
        <f t="shared" si="0"/>
        <v>21879.1125</v>
      </c>
      <c r="M5" s="18">
        <f t="shared" si="0"/>
        <v>22973.068125</v>
      </c>
      <c r="N5" s="18">
        <f t="shared" si="0"/>
        <v>24121.72153125</v>
      </c>
      <c r="O5" s="18">
        <f t="shared" si="0"/>
        <v>25327.8076078125</v>
      </c>
      <c r="P5" s="18">
        <f t="shared" si="0"/>
        <v>26594.197988203126</v>
      </c>
    </row>
    <row r="6" spans="1:16" ht="14.25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>
      <c r="A7" s="4" t="s">
        <v>11</v>
      </c>
      <c r="B7" s="4"/>
      <c r="C7" s="1">
        <f>-C185</f>
        <v>-4803.571428571428</v>
      </c>
      <c r="D7" s="1">
        <f aca="true" t="shared" si="1" ref="D7:P7">-D185</f>
        <v>-4285.714285714286</v>
      </c>
      <c r="E7" s="1">
        <f t="shared" si="1"/>
        <v>-3942.8571428571427</v>
      </c>
      <c r="F7" s="1">
        <f t="shared" si="1"/>
        <v>-3600</v>
      </c>
      <c r="G7" s="1">
        <f t="shared" si="1"/>
        <v>-3257.142857142857</v>
      </c>
      <c r="H7" s="1">
        <f t="shared" si="1"/>
        <v>-2914.285714285714</v>
      </c>
      <c r="I7" s="1">
        <f t="shared" si="1"/>
        <v>-2571.4285714285716</v>
      </c>
      <c r="J7" s="1">
        <f t="shared" si="1"/>
        <v>-2160</v>
      </c>
      <c r="K7" s="1">
        <f t="shared" si="1"/>
        <v>-1680</v>
      </c>
      <c r="L7" s="1">
        <f t="shared" si="1"/>
        <v>-1200</v>
      </c>
      <c r="M7" s="1">
        <f t="shared" si="1"/>
        <v>-720</v>
      </c>
      <c r="N7" s="1">
        <f t="shared" si="1"/>
        <v>-240</v>
      </c>
      <c r="O7" s="1">
        <f t="shared" si="1"/>
        <v>0</v>
      </c>
      <c r="P7" s="1">
        <f t="shared" si="1"/>
        <v>0</v>
      </c>
    </row>
    <row r="8" spans="1:16" ht="14.25">
      <c r="A8" s="4" t="s">
        <v>12</v>
      </c>
      <c r="B8" s="4"/>
      <c r="C8" s="1">
        <f>AVERAGE(B50:C50)*$C$216</f>
        <v>34.32136586764126</v>
      </c>
      <c r="D8" s="1">
        <f aca="true" t="shared" si="2" ref="D8:P8">AVERAGE(C50:D50)*$C$216</f>
        <v>32.07734023389985</v>
      </c>
      <c r="E8" s="1">
        <f t="shared" si="2"/>
        <v>50.53332489557062</v>
      </c>
      <c r="F8" s="1">
        <f t="shared" si="2"/>
        <v>68.90005480817925</v>
      </c>
      <c r="G8" s="1">
        <f t="shared" si="2"/>
        <v>99.24115660240652</v>
      </c>
      <c r="H8" s="1">
        <f t="shared" si="2"/>
        <v>141.79774732588777</v>
      </c>
      <c r="I8" s="1">
        <f t="shared" si="2"/>
        <v>197.13857609127925</v>
      </c>
      <c r="J8" s="1">
        <f t="shared" si="2"/>
        <v>262.7487456010651</v>
      </c>
      <c r="K8" s="1">
        <f t="shared" si="2"/>
        <v>339.4431818653309</v>
      </c>
      <c r="L8" s="1">
        <f t="shared" si="2"/>
        <v>426.4003514736827</v>
      </c>
      <c r="M8" s="1">
        <f t="shared" si="2"/>
        <v>524.0188007496586</v>
      </c>
      <c r="N8" s="1">
        <f t="shared" si="2"/>
        <v>632.7162560671256</v>
      </c>
      <c r="O8" s="1">
        <f t="shared" si="2"/>
        <v>772.2132466529191</v>
      </c>
      <c r="P8" s="1">
        <f t="shared" si="2"/>
        <v>941.5294285343283</v>
      </c>
    </row>
    <row r="9" spans="1:16" ht="14.25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7" t="s">
        <v>13</v>
      </c>
      <c r="B10" s="17"/>
      <c r="C10" s="19">
        <f>C5+C7+C8</f>
        <v>10230.749937296214</v>
      </c>
      <c r="D10" s="19">
        <f aca="true" t="shared" si="3" ref="D10:P10">D5+D7+D8</f>
        <v>11496.363054519614</v>
      </c>
      <c r="E10" s="19">
        <f t="shared" si="3"/>
        <v>8907.676182038427</v>
      </c>
      <c r="F10" s="19">
        <f t="shared" si="3"/>
        <v>11468.900054808179</v>
      </c>
      <c r="G10" s="19">
        <f t="shared" si="3"/>
        <v>12592.098299459549</v>
      </c>
      <c r="H10" s="19">
        <f t="shared" si="3"/>
        <v>15227.512033040173</v>
      </c>
      <c r="I10" s="19">
        <f t="shared" si="3"/>
        <v>16525.710004662706</v>
      </c>
      <c r="J10" s="19">
        <f t="shared" si="3"/>
        <v>17947.748745601064</v>
      </c>
      <c r="K10" s="19">
        <f t="shared" si="3"/>
        <v>19496.693181865332</v>
      </c>
      <c r="L10" s="19">
        <f t="shared" si="3"/>
        <v>21105.512851473683</v>
      </c>
      <c r="M10" s="19">
        <f t="shared" si="3"/>
        <v>22777.08692574966</v>
      </c>
      <c r="N10" s="19">
        <f t="shared" si="3"/>
        <v>24514.437787317125</v>
      </c>
      <c r="O10" s="19">
        <f t="shared" si="3"/>
        <v>26100.02085446542</v>
      </c>
      <c r="P10" s="19">
        <f t="shared" si="3"/>
        <v>27535.727416737456</v>
      </c>
    </row>
    <row r="11" spans="1:16" ht="14.25">
      <c r="A11" s="4" t="s">
        <v>14</v>
      </c>
      <c r="B11" s="4"/>
      <c r="C11" s="1">
        <f>C10*$C$214</f>
        <v>3580.762478053675</v>
      </c>
      <c r="D11" s="1">
        <f aca="true" t="shared" si="4" ref="D11:P11">D10*$C$214</f>
        <v>4023.7270690818646</v>
      </c>
      <c r="E11" s="1">
        <f t="shared" si="4"/>
        <v>3117.6866637134494</v>
      </c>
      <c r="F11" s="1">
        <f t="shared" si="4"/>
        <v>4014.1150191828624</v>
      </c>
      <c r="G11" s="1">
        <f t="shared" si="4"/>
        <v>4407.234404810842</v>
      </c>
      <c r="H11" s="1">
        <f t="shared" si="4"/>
        <v>5329.62921156406</v>
      </c>
      <c r="I11" s="1">
        <f t="shared" si="4"/>
        <v>5783.998501631947</v>
      </c>
      <c r="J11" s="1">
        <f t="shared" si="4"/>
        <v>6281.712060960372</v>
      </c>
      <c r="K11" s="1">
        <f t="shared" si="4"/>
        <v>6823.842613652866</v>
      </c>
      <c r="L11" s="1">
        <f t="shared" si="4"/>
        <v>7386.929498015788</v>
      </c>
      <c r="M11" s="1">
        <f t="shared" si="4"/>
        <v>7971.98042401238</v>
      </c>
      <c r="N11" s="1">
        <f t="shared" si="4"/>
        <v>8580.053225560994</v>
      </c>
      <c r="O11" s="1">
        <f t="shared" si="4"/>
        <v>9135.007299062896</v>
      </c>
      <c r="P11" s="1">
        <f t="shared" si="4"/>
        <v>9637.504595858109</v>
      </c>
    </row>
    <row r="12" spans="1:16" ht="14.25">
      <c r="A12" s="4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>
      <c r="A13" s="17" t="s">
        <v>1</v>
      </c>
      <c r="B13" s="17"/>
      <c r="C13" s="20">
        <f>C10-C11</f>
        <v>6649.9874592425385</v>
      </c>
      <c r="D13" s="20">
        <f aca="true" t="shared" si="5" ref="D13:P13">D10-D11</f>
        <v>7472.63598543775</v>
      </c>
      <c r="E13" s="20">
        <f t="shared" si="5"/>
        <v>5789.989518324977</v>
      </c>
      <c r="F13" s="20">
        <f t="shared" si="5"/>
        <v>7454.785035625317</v>
      </c>
      <c r="G13" s="20">
        <f t="shared" si="5"/>
        <v>8184.863894648707</v>
      </c>
      <c r="H13" s="20">
        <f t="shared" si="5"/>
        <v>9897.882821476112</v>
      </c>
      <c r="I13" s="20">
        <f t="shared" si="5"/>
        <v>10741.711503030758</v>
      </c>
      <c r="J13" s="20">
        <f t="shared" si="5"/>
        <v>11666.036684640692</v>
      </c>
      <c r="K13" s="20">
        <f t="shared" si="5"/>
        <v>12672.850568212467</v>
      </c>
      <c r="L13" s="20">
        <f t="shared" si="5"/>
        <v>13718.583353457894</v>
      </c>
      <c r="M13" s="20">
        <f t="shared" si="5"/>
        <v>14805.106501737278</v>
      </c>
      <c r="N13" s="20">
        <f t="shared" si="5"/>
        <v>15934.384561756131</v>
      </c>
      <c r="O13" s="20">
        <f t="shared" si="5"/>
        <v>16965.013555402526</v>
      </c>
      <c r="P13" s="20">
        <f t="shared" si="5"/>
        <v>17898.222820879346</v>
      </c>
    </row>
    <row r="14" spans="1:16" ht="15" thickTop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22" t="s">
        <v>15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4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4" t="s">
        <v>16</v>
      </c>
      <c r="B17" s="11">
        <v>5000</v>
      </c>
      <c r="C17" s="1">
        <f>B17+C41</f>
        <v>0</v>
      </c>
      <c r="D17" s="1">
        <f aca="true" t="shared" si="6" ref="D17:P19">C17+D41</f>
        <v>0</v>
      </c>
      <c r="E17" s="1">
        <f t="shared" si="6"/>
        <v>0</v>
      </c>
      <c r="F17" s="1">
        <f t="shared" si="6"/>
        <v>0</v>
      </c>
      <c r="G17" s="1">
        <f t="shared" si="6"/>
        <v>0</v>
      </c>
      <c r="H17" s="1">
        <f t="shared" si="6"/>
        <v>0</v>
      </c>
      <c r="I17" s="1">
        <f t="shared" si="6"/>
        <v>0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</row>
    <row r="18" spans="1:16" ht="14.25">
      <c r="A18" s="4" t="s">
        <v>17</v>
      </c>
      <c r="B18" s="11">
        <v>30000</v>
      </c>
      <c r="C18" s="1">
        <f aca="true" t="shared" si="7" ref="C18:I19">B18+C42</f>
        <v>25714.285714285714</v>
      </c>
      <c r="D18" s="1">
        <f t="shared" si="7"/>
        <v>21428.571428571428</v>
      </c>
      <c r="E18" s="1">
        <f t="shared" si="7"/>
        <v>17142.85714285714</v>
      </c>
      <c r="F18" s="1">
        <f t="shared" si="7"/>
        <v>12857.142857142855</v>
      </c>
      <c r="G18" s="1">
        <f t="shared" si="7"/>
        <v>8571.428571428569</v>
      </c>
      <c r="H18" s="1">
        <f t="shared" si="7"/>
        <v>4285.7142857142835</v>
      </c>
      <c r="I18" s="1">
        <f t="shared" si="7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</row>
    <row r="19" spans="1:16" ht="14.25">
      <c r="A19" s="4" t="s">
        <v>18</v>
      </c>
      <c r="B19" s="11">
        <v>20000</v>
      </c>
      <c r="C19" s="1">
        <f t="shared" si="7"/>
        <v>20000</v>
      </c>
      <c r="D19" s="1">
        <f t="shared" si="7"/>
        <v>20000</v>
      </c>
      <c r="E19" s="1">
        <f t="shared" si="7"/>
        <v>20000</v>
      </c>
      <c r="F19" s="1">
        <f t="shared" si="7"/>
        <v>20000</v>
      </c>
      <c r="G19" s="1">
        <f t="shared" si="7"/>
        <v>20000</v>
      </c>
      <c r="H19" s="1">
        <f t="shared" si="7"/>
        <v>20000</v>
      </c>
      <c r="I19" s="1">
        <f t="shared" si="7"/>
        <v>20000</v>
      </c>
      <c r="J19" s="1">
        <f t="shared" si="6"/>
        <v>16000</v>
      </c>
      <c r="K19" s="1">
        <f t="shared" si="6"/>
        <v>12000</v>
      </c>
      <c r="L19" s="1">
        <f t="shared" si="6"/>
        <v>8000</v>
      </c>
      <c r="M19" s="1">
        <f t="shared" si="6"/>
        <v>4000</v>
      </c>
      <c r="N19" s="1">
        <f t="shared" si="6"/>
        <v>0</v>
      </c>
      <c r="O19" s="1">
        <f t="shared" si="6"/>
        <v>0</v>
      </c>
      <c r="P19" s="1">
        <f t="shared" si="6"/>
        <v>0</v>
      </c>
    </row>
    <row r="20" spans="1:16" ht="14.25">
      <c r="A20" s="23" t="s">
        <v>19</v>
      </c>
      <c r="B20" s="24">
        <f>SUM(B17:B19)</f>
        <v>55000</v>
      </c>
      <c r="C20" s="24">
        <f>SUM(C17:C19)</f>
        <v>45714.28571428571</v>
      </c>
      <c r="D20" s="24">
        <f aca="true" t="shared" si="8" ref="D20:P20">SUM(D17:D19)</f>
        <v>41428.57142857143</v>
      </c>
      <c r="E20" s="24">
        <f t="shared" si="8"/>
        <v>37142.857142857145</v>
      </c>
      <c r="F20" s="24">
        <f t="shared" si="8"/>
        <v>32857.142857142855</v>
      </c>
      <c r="G20" s="24">
        <f t="shared" si="8"/>
        <v>28571.42857142857</v>
      </c>
      <c r="H20" s="24">
        <f t="shared" si="8"/>
        <v>24285.714285714283</v>
      </c>
      <c r="I20" s="24">
        <f t="shared" si="8"/>
        <v>20000</v>
      </c>
      <c r="J20" s="24">
        <f t="shared" si="8"/>
        <v>16000</v>
      </c>
      <c r="K20" s="24">
        <f t="shared" si="8"/>
        <v>12000</v>
      </c>
      <c r="L20" s="24">
        <f t="shared" si="8"/>
        <v>8000</v>
      </c>
      <c r="M20" s="24">
        <f t="shared" si="8"/>
        <v>4000</v>
      </c>
      <c r="N20" s="24">
        <f t="shared" si="8"/>
        <v>0</v>
      </c>
      <c r="O20" s="24">
        <f t="shared" si="8"/>
        <v>0</v>
      </c>
      <c r="P20" s="24">
        <f t="shared" si="8"/>
        <v>0</v>
      </c>
    </row>
    <row r="21" spans="1:16" ht="14.25">
      <c r="A21" s="4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7"/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">
      <c r="A24" s="2" t="s">
        <v>20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4" t="s">
        <v>21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5" t="s">
        <v>1</v>
      </c>
      <c r="B27" s="5"/>
      <c r="C27" s="1">
        <f>C13</f>
        <v>6649.9874592425385</v>
      </c>
      <c r="D27" s="1">
        <f aca="true" t="shared" si="9" ref="D27:P27">D13</f>
        <v>7472.63598543775</v>
      </c>
      <c r="E27" s="1">
        <f t="shared" si="9"/>
        <v>5789.989518324977</v>
      </c>
      <c r="F27" s="1">
        <f t="shared" si="9"/>
        <v>7454.785035625317</v>
      </c>
      <c r="G27" s="1">
        <f t="shared" si="9"/>
        <v>8184.863894648707</v>
      </c>
      <c r="H27" s="1">
        <f t="shared" si="9"/>
        <v>9897.882821476112</v>
      </c>
      <c r="I27" s="1">
        <f t="shared" si="9"/>
        <v>10741.711503030758</v>
      </c>
      <c r="J27" s="1">
        <f t="shared" si="9"/>
        <v>11666.036684640692</v>
      </c>
      <c r="K27" s="1">
        <f t="shared" si="9"/>
        <v>12672.850568212467</v>
      </c>
      <c r="L27" s="1">
        <f t="shared" si="9"/>
        <v>13718.583353457894</v>
      </c>
      <c r="M27" s="1">
        <f t="shared" si="9"/>
        <v>14805.106501737278</v>
      </c>
      <c r="N27" s="1">
        <f t="shared" si="9"/>
        <v>15934.384561756131</v>
      </c>
      <c r="O27" s="1">
        <f t="shared" si="9"/>
        <v>16965.013555402526</v>
      </c>
      <c r="P27" s="1">
        <f t="shared" si="9"/>
        <v>17898.222820879346</v>
      </c>
    </row>
    <row r="28" spans="1:16" ht="14.25">
      <c r="A28" s="5" t="s">
        <v>22</v>
      </c>
      <c r="B28" s="5"/>
      <c r="C28" s="11">
        <v>0</v>
      </c>
      <c r="D28" s="12">
        <f>C28</f>
        <v>0</v>
      </c>
      <c r="E28" s="12">
        <f aca="true" t="shared" si="10" ref="E28:P28">D28</f>
        <v>0</v>
      </c>
      <c r="F28" s="12">
        <f t="shared" si="10"/>
        <v>0</v>
      </c>
      <c r="G28" s="12">
        <f t="shared" si="10"/>
        <v>0</v>
      </c>
      <c r="H28" s="12">
        <f t="shared" si="10"/>
        <v>0</v>
      </c>
      <c r="I28" s="12">
        <f t="shared" si="10"/>
        <v>0</v>
      </c>
      <c r="J28" s="12">
        <f t="shared" si="10"/>
        <v>0</v>
      </c>
      <c r="K28" s="12">
        <f t="shared" si="10"/>
        <v>0</v>
      </c>
      <c r="L28" s="12">
        <f t="shared" si="10"/>
        <v>0</v>
      </c>
      <c r="M28" s="12">
        <f t="shared" si="10"/>
        <v>0</v>
      </c>
      <c r="N28" s="12">
        <f t="shared" si="10"/>
        <v>0</v>
      </c>
      <c r="O28" s="12">
        <f t="shared" si="10"/>
        <v>0</v>
      </c>
      <c r="P28" s="12">
        <f t="shared" si="10"/>
        <v>0</v>
      </c>
    </row>
    <row r="29" spans="1:16" ht="14.25">
      <c r="A29" s="5" t="s">
        <v>23</v>
      </c>
      <c r="B29" s="5"/>
      <c r="C29" s="11">
        <v>0</v>
      </c>
      <c r="D29" s="12">
        <f aca="true" t="shared" si="11" ref="D29:P33">C29</f>
        <v>0</v>
      </c>
      <c r="E29" s="12">
        <f t="shared" si="11"/>
        <v>0</v>
      </c>
      <c r="F29" s="12">
        <f t="shared" si="11"/>
        <v>0</v>
      </c>
      <c r="G29" s="12">
        <f t="shared" si="11"/>
        <v>0</v>
      </c>
      <c r="H29" s="12">
        <f t="shared" si="11"/>
        <v>0</v>
      </c>
      <c r="I29" s="12">
        <f t="shared" si="11"/>
        <v>0</v>
      </c>
      <c r="J29" s="12">
        <f t="shared" si="11"/>
        <v>0</v>
      </c>
      <c r="K29" s="12">
        <f t="shared" si="11"/>
        <v>0</v>
      </c>
      <c r="L29" s="12">
        <f t="shared" si="11"/>
        <v>0</v>
      </c>
      <c r="M29" s="12">
        <f t="shared" si="11"/>
        <v>0</v>
      </c>
      <c r="N29" s="12">
        <f t="shared" si="11"/>
        <v>0</v>
      </c>
      <c r="O29" s="12">
        <f t="shared" si="11"/>
        <v>0</v>
      </c>
      <c r="P29" s="12">
        <f t="shared" si="11"/>
        <v>0</v>
      </c>
    </row>
    <row r="30" spans="1:16" ht="14.25">
      <c r="A30" s="6" t="s">
        <v>24</v>
      </c>
      <c r="B30" s="6"/>
      <c r="C30" s="11">
        <v>0</v>
      </c>
      <c r="D30" s="12">
        <f t="shared" si="11"/>
        <v>0</v>
      </c>
      <c r="E30" s="12">
        <f t="shared" si="11"/>
        <v>0</v>
      </c>
      <c r="F30" s="12">
        <f t="shared" si="11"/>
        <v>0</v>
      </c>
      <c r="G30" s="12">
        <f t="shared" si="11"/>
        <v>0</v>
      </c>
      <c r="H30" s="12">
        <f t="shared" si="11"/>
        <v>0</v>
      </c>
      <c r="I30" s="12">
        <f t="shared" si="11"/>
        <v>0</v>
      </c>
      <c r="J30" s="12">
        <f t="shared" si="11"/>
        <v>0</v>
      </c>
      <c r="K30" s="12">
        <f t="shared" si="11"/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</row>
    <row r="31" spans="1:16" ht="14.25">
      <c r="A31" s="6" t="s">
        <v>25</v>
      </c>
      <c r="B31" s="6"/>
      <c r="C31" s="11">
        <v>0</v>
      </c>
      <c r="D31" s="12">
        <f t="shared" si="11"/>
        <v>0</v>
      </c>
      <c r="E31" s="12">
        <f t="shared" si="11"/>
        <v>0</v>
      </c>
      <c r="F31" s="12">
        <f t="shared" si="11"/>
        <v>0</v>
      </c>
      <c r="G31" s="12">
        <f t="shared" si="11"/>
        <v>0</v>
      </c>
      <c r="H31" s="12">
        <f t="shared" si="11"/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1"/>
        <v>0</v>
      </c>
      <c r="M31" s="12">
        <f t="shared" si="11"/>
        <v>0</v>
      </c>
      <c r="N31" s="12">
        <f t="shared" si="11"/>
        <v>0</v>
      </c>
      <c r="O31" s="12">
        <f t="shared" si="11"/>
        <v>0</v>
      </c>
      <c r="P31" s="12">
        <f t="shared" si="11"/>
        <v>0</v>
      </c>
    </row>
    <row r="32" spans="1:16" ht="14.25">
      <c r="A32" s="6" t="s">
        <v>26</v>
      </c>
      <c r="B32" s="6"/>
      <c r="C32" s="11">
        <v>0</v>
      </c>
      <c r="D32" s="12">
        <f t="shared" si="11"/>
        <v>0</v>
      </c>
      <c r="E32" s="12">
        <f t="shared" si="11"/>
        <v>0</v>
      </c>
      <c r="F32" s="12">
        <f t="shared" si="11"/>
        <v>0</v>
      </c>
      <c r="G32" s="12">
        <f t="shared" si="11"/>
        <v>0</v>
      </c>
      <c r="H32" s="12">
        <f t="shared" si="11"/>
        <v>0</v>
      </c>
      <c r="I32" s="12">
        <f t="shared" si="11"/>
        <v>0</v>
      </c>
      <c r="J32" s="12">
        <f t="shared" si="11"/>
        <v>0</v>
      </c>
      <c r="K32" s="12">
        <f t="shared" si="11"/>
        <v>0</v>
      </c>
      <c r="L32" s="12">
        <f t="shared" si="11"/>
        <v>0</v>
      </c>
      <c r="M32" s="12">
        <f t="shared" si="11"/>
        <v>0</v>
      </c>
      <c r="N32" s="12">
        <f t="shared" si="11"/>
        <v>0</v>
      </c>
      <c r="O32" s="12">
        <f t="shared" si="11"/>
        <v>0</v>
      </c>
      <c r="P32" s="12">
        <f t="shared" si="11"/>
        <v>0</v>
      </c>
    </row>
    <row r="33" spans="1:16" ht="14.25">
      <c r="A33" s="6" t="s">
        <v>27</v>
      </c>
      <c r="B33" s="6"/>
      <c r="C33" s="11"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 t="shared" si="11"/>
        <v>0</v>
      </c>
      <c r="O33" s="12">
        <f t="shared" si="11"/>
        <v>0</v>
      </c>
      <c r="P33" s="12">
        <f t="shared" si="11"/>
        <v>0</v>
      </c>
    </row>
    <row r="34" spans="1:16" ht="14.25">
      <c r="A34" s="4" t="s">
        <v>28</v>
      </c>
      <c r="B34" s="5"/>
      <c r="C34" s="8">
        <f>SUM(C27:C33)</f>
        <v>6649.9874592425385</v>
      </c>
      <c r="D34" s="8">
        <f aca="true" t="shared" si="12" ref="D34:P34">SUM(D27:D33)</f>
        <v>7472.63598543775</v>
      </c>
      <c r="E34" s="8">
        <f t="shared" si="12"/>
        <v>5789.989518324977</v>
      </c>
      <c r="F34" s="8">
        <f t="shared" si="12"/>
        <v>7454.785035625317</v>
      </c>
      <c r="G34" s="8">
        <f t="shared" si="12"/>
        <v>8184.863894648707</v>
      </c>
      <c r="H34" s="8">
        <f t="shared" si="12"/>
        <v>9897.882821476112</v>
      </c>
      <c r="I34" s="8">
        <f t="shared" si="12"/>
        <v>10741.711503030758</v>
      </c>
      <c r="J34" s="8">
        <f t="shared" si="12"/>
        <v>11666.036684640692</v>
      </c>
      <c r="K34" s="8">
        <f t="shared" si="12"/>
        <v>12672.850568212467</v>
      </c>
      <c r="L34" s="8">
        <f t="shared" si="12"/>
        <v>13718.583353457894</v>
      </c>
      <c r="M34" s="8">
        <f t="shared" si="12"/>
        <v>14805.106501737278</v>
      </c>
      <c r="N34" s="8">
        <f t="shared" si="12"/>
        <v>15934.384561756131</v>
      </c>
      <c r="O34" s="8">
        <f t="shared" si="12"/>
        <v>16965.013555402526</v>
      </c>
      <c r="P34" s="8">
        <f t="shared" si="12"/>
        <v>17898.222820879346</v>
      </c>
    </row>
    <row r="35" spans="3:16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4" t="s">
        <v>29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5" t="s">
        <v>30</v>
      </c>
      <c r="B37" s="5"/>
      <c r="C37" s="11">
        <v>-500</v>
      </c>
      <c r="D37" s="12">
        <f>C37</f>
        <v>-500</v>
      </c>
      <c r="E37" s="12">
        <f aca="true" t="shared" si="13" ref="E37:P37">D37</f>
        <v>-500</v>
      </c>
      <c r="F37" s="12">
        <f t="shared" si="13"/>
        <v>-500</v>
      </c>
      <c r="G37" s="12">
        <f t="shared" si="13"/>
        <v>-500</v>
      </c>
      <c r="H37" s="12">
        <f t="shared" si="13"/>
        <v>-500</v>
      </c>
      <c r="I37" s="12">
        <f t="shared" si="13"/>
        <v>-500</v>
      </c>
      <c r="J37" s="12">
        <f t="shared" si="13"/>
        <v>-500</v>
      </c>
      <c r="K37" s="12">
        <f t="shared" si="13"/>
        <v>-500</v>
      </c>
      <c r="L37" s="12">
        <f t="shared" si="13"/>
        <v>-500</v>
      </c>
      <c r="M37" s="12">
        <f t="shared" si="13"/>
        <v>-500</v>
      </c>
      <c r="N37" s="12">
        <f t="shared" si="13"/>
        <v>-500</v>
      </c>
      <c r="O37" s="12">
        <f t="shared" si="13"/>
        <v>-500</v>
      </c>
      <c r="P37" s="12">
        <f t="shared" si="13"/>
        <v>-500</v>
      </c>
    </row>
    <row r="38" spans="1:16" ht="14.25">
      <c r="A38" s="4" t="s">
        <v>31</v>
      </c>
      <c r="B38" s="4"/>
      <c r="C38" s="8">
        <f>SUM(C37)</f>
        <v>-500</v>
      </c>
      <c r="D38" s="8">
        <f aca="true" t="shared" si="14" ref="D38:P38">SUM(D37)</f>
        <v>-500</v>
      </c>
      <c r="E38" s="8">
        <f t="shared" si="14"/>
        <v>-500</v>
      </c>
      <c r="F38" s="8">
        <f t="shared" si="14"/>
        <v>-500</v>
      </c>
      <c r="G38" s="8">
        <f t="shared" si="14"/>
        <v>-500</v>
      </c>
      <c r="H38" s="8">
        <f t="shared" si="14"/>
        <v>-500</v>
      </c>
      <c r="I38" s="8">
        <f t="shared" si="14"/>
        <v>-500</v>
      </c>
      <c r="J38" s="8">
        <f t="shared" si="14"/>
        <v>-500</v>
      </c>
      <c r="K38" s="8">
        <f t="shared" si="14"/>
        <v>-500</v>
      </c>
      <c r="L38" s="8">
        <f t="shared" si="14"/>
        <v>-500</v>
      </c>
      <c r="M38" s="8">
        <f t="shared" si="14"/>
        <v>-500</v>
      </c>
      <c r="N38" s="8">
        <f t="shared" si="14"/>
        <v>-500</v>
      </c>
      <c r="O38" s="8">
        <f t="shared" si="14"/>
        <v>-500</v>
      </c>
      <c r="P38" s="8">
        <f t="shared" si="14"/>
        <v>-500</v>
      </c>
    </row>
    <row r="39" spans="3:16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4" t="s">
        <v>32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5" t="s">
        <v>33</v>
      </c>
      <c r="B41" s="5"/>
      <c r="C41" s="1">
        <f>C195</f>
        <v>-5000</v>
      </c>
      <c r="D41" s="1">
        <f aca="true" t="shared" si="15" ref="D41:P41">D195</f>
        <v>0</v>
      </c>
      <c r="E41" s="1">
        <f t="shared" si="15"/>
        <v>0</v>
      </c>
      <c r="F41" s="1">
        <f t="shared" si="15"/>
        <v>0</v>
      </c>
      <c r="G41" s="1">
        <f t="shared" si="15"/>
        <v>0</v>
      </c>
      <c r="H41" s="1">
        <f t="shared" si="15"/>
        <v>0</v>
      </c>
      <c r="I41" s="1">
        <f t="shared" si="15"/>
        <v>0</v>
      </c>
      <c r="J41" s="1">
        <f t="shared" si="15"/>
        <v>0</v>
      </c>
      <c r="K41" s="1">
        <f t="shared" si="15"/>
        <v>0</v>
      </c>
      <c r="L41" s="1">
        <f t="shared" si="15"/>
        <v>0</v>
      </c>
      <c r="M41" s="1">
        <f t="shared" si="15"/>
        <v>0</v>
      </c>
      <c r="N41" s="1">
        <f t="shared" si="15"/>
        <v>0</v>
      </c>
      <c r="O41" s="1">
        <f t="shared" si="15"/>
        <v>0</v>
      </c>
      <c r="P41" s="1">
        <f t="shared" si="15"/>
        <v>0</v>
      </c>
    </row>
    <row r="42" spans="1:16" ht="14.25">
      <c r="A42" s="5" t="s">
        <v>34</v>
      </c>
      <c r="B42" s="5"/>
      <c r="C42" s="1">
        <f aca="true" t="shared" si="16" ref="C42:P42">IF(-$B$18/$C$221+B18&lt;=0,-B18,-$B$18/$C$221)</f>
        <v>-4285.714285714285</v>
      </c>
      <c r="D42" s="1">
        <f t="shared" si="16"/>
        <v>-4285.714285714285</v>
      </c>
      <c r="E42" s="1">
        <f t="shared" si="16"/>
        <v>-4285.714285714285</v>
      </c>
      <c r="F42" s="1">
        <f t="shared" si="16"/>
        <v>-4285.714285714285</v>
      </c>
      <c r="G42" s="1">
        <f t="shared" si="16"/>
        <v>-4285.714285714285</v>
      </c>
      <c r="H42" s="1">
        <f t="shared" si="16"/>
        <v>-4285.714285714285</v>
      </c>
      <c r="I42" s="1">
        <f t="shared" si="16"/>
        <v>-4285.7142857142835</v>
      </c>
      <c r="J42" s="1">
        <f t="shared" si="16"/>
        <v>0</v>
      </c>
      <c r="K42" s="1">
        <f t="shared" si="16"/>
        <v>0</v>
      </c>
      <c r="L42" s="1">
        <f t="shared" si="16"/>
        <v>0</v>
      </c>
      <c r="M42" s="1">
        <f t="shared" si="16"/>
        <v>0</v>
      </c>
      <c r="N42" s="1">
        <f t="shared" si="16"/>
        <v>0</v>
      </c>
      <c r="O42" s="1">
        <f t="shared" si="16"/>
        <v>0</v>
      </c>
      <c r="P42" s="1">
        <f t="shared" si="16"/>
        <v>0</v>
      </c>
    </row>
    <row r="43" spans="1:16" ht="14.25">
      <c r="A43" s="5" t="s">
        <v>35</v>
      </c>
      <c r="B43" s="5"/>
      <c r="C43" s="1">
        <f aca="true" t="shared" si="17" ref="C43:P43">IF(B18&gt;0,0,IF(-$B$19/$C$222+B19&lt;=0,-B19,-$B$19/$C$222))</f>
        <v>0</v>
      </c>
      <c r="D43" s="1">
        <f t="shared" si="17"/>
        <v>0</v>
      </c>
      <c r="E43" s="1">
        <f t="shared" si="17"/>
        <v>0</v>
      </c>
      <c r="F43" s="1">
        <f t="shared" si="17"/>
        <v>0</v>
      </c>
      <c r="G43" s="1">
        <f t="shared" si="17"/>
        <v>0</v>
      </c>
      <c r="H43" s="1">
        <f t="shared" si="17"/>
        <v>0</v>
      </c>
      <c r="I43" s="1">
        <f t="shared" si="17"/>
        <v>0</v>
      </c>
      <c r="J43" s="1">
        <f t="shared" si="17"/>
        <v>-4000</v>
      </c>
      <c r="K43" s="1">
        <f t="shared" si="17"/>
        <v>-4000</v>
      </c>
      <c r="L43" s="1">
        <f t="shared" si="17"/>
        <v>-4000</v>
      </c>
      <c r="M43" s="1">
        <f t="shared" si="17"/>
        <v>-4000</v>
      </c>
      <c r="N43" s="1">
        <f t="shared" si="17"/>
        <v>-4000</v>
      </c>
      <c r="O43" s="1">
        <f t="shared" si="17"/>
        <v>0</v>
      </c>
      <c r="P43" s="1">
        <f t="shared" si="17"/>
        <v>0</v>
      </c>
    </row>
    <row r="44" spans="1:16" ht="14.25">
      <c r="A44" s="5" t="s">
        <v>36</v>
      </c>
      <c r="B44" s="5"/>
      <c r="C44" s="11">
        <v>0</v>
      </c>
      <c r="D44" s="12">
        <f>C44</f>
        <v>0</v>
      </c>
      <c r="E44" s="12">
        <f aca="true" t="shared" si="18" ref="E44:P44">D44</f>
        <v>0</v>
      </c>
      <c r="F44" s="12">
        <f t="shared" si="18"/>
        <v>0</v>
      </c>
      <c r="G44" s="12">
        <f t="shared" si="18"/>
        <v>0</v>
      </c>
      <c r="H44" s="12">
        <f t="shared" si="18"/>
        <v>0</v>
      </c>
      <c r="I44" s="12">
        <f t="shared" si="18"/>
        <v>0</v>
      </c>
      <c r="J44" s="12">
        <f t="shared" si="18"/>
        <v>0</v>
      </c>
      <c r="K44" s="12">
        <f t="shared" si="18"/>
        <v>0</v>
      </c>
      <c r="L44" s="12">
        <f t="shared" si="18"/>
        <v>0</v>
      </c>
      <c r="M44" s="12">
        <f t="shared" si="18"/>
        <v>0</v>
      </c>
      <c r="N44" s="12">
        <f t="shared" si="18"/>
        <v>0</v>
      </c>
      <c r="O44" s="12">
        <f t="shared" si="18"/>
        <v>0</v>
      </c>
      <c r="P44" s="12">
        <f t="shared" si="18"/>
        <v>0</v>
      </c>
    </row>
    <row r="45" spans="1:16" ht="14.25">
      <c r="A45" s="4" t="s">
        <v>37</v>
      </c>
      <c r="B45" s="4"/>
      <c r="C45" s="8">
        <f>SUM(C41:C44)</f>
        <v>-9285.714285714286</v>
      </c>
      <c r="D45" s="8">
        <f aca="true" t="shared" si="19" ref="D45:P45">SUM(D41:D44)</f>
        <v>-4285.714285714285</v>
      </c>
      <c r="E45" s="8">
        <f t="shared" si="19"/>
        <v>-4285.714285714285</v>
      </c>
      <c r="F45" s="8">
        <f t="shared" si="19"/>
        <v>-4285.714285714285</v>
      </c>
      <c r="G45" s="8">
        <f t="shared" si="19"/>
        <v>-4285.714285714285</v>
      </c>
      <c r="H45" s="8">
        <f t="shared" si="19"/>
        <v>-4285.714285714285</v>
      </c>
      <c r="I45" s="8">
        <f t="shared" si="19"/>
        <v>-4285.7142857142835</v>
      </c>
      <c r="J45" s="8">
        <f t="shared" si="19"/>
        <v>-4000</v>
      </c>
      <c r="K45" s="8">
        <f t="shared" si="19"/>
        <v>-4000</v>
      </c>
      <c r="L45" s="8">
        <f t="shared" si="19"/>
        <v>-4000</v>
      </c>
      <c r="M45" s="8">
        <f t="shared" si="19"/>
        <v>-4000</v>
      </c>
      <c r="N45" s="8">
        <f t="shared" si="19"/>
        <v>-4000</v>
      </c>
      <c r="O45" s="8">
        <f t="shared" si="19"/>
        <v>0</v>
      </c>
      <c r="P45" s="8">
        <f t="shared" si="19"/>
        <v>0</v>
      </c>
    </row>
    <row r="46" spans="1:16" ht="14.25">
      <c r="A46" s="4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7" t="s">
        <v>38</v>
      </c>
      <c r="B47" s="17"/>
      <c r="C47" s="19">
        <f>C45+C38+C34</f>
        <v>-3135.7268264717477</v>
      </c>
      <c r="D47" s="19">
        <f aca="true" t="shared" si="20" ref="D47:P47">D45+D38+D34</f>
        <v>2686.9216997234644</v>
      </c>
      <c r="E47" s="19">
        <f t="shared" si="20"/>
        <v>1004.275232610692</v>
      </c>
      <c r="F47" s="19">
        <f t="shared" si="20"/>
        <v>2669.0707499110313</v>
      </c>
      <c r="G47" s="19">
        <f t="shared" si="20"/>
        <v>3399.149608934422</v>
      </c>
      <c r="H47" s="19">
        <f t="shared" si="20"/>
        <v>5112.168535761827</v>
      </c>
      <c r="I47" s="19">
        <f t="shared" si="20"/>
        <v>5955.997217316474</v>
      </c>
      <c r="J47" s="19">
        <f t="shared" si="20"/>
        <v>7166.036684640692</v>
      </c>
      <c r="K47" s="19">
        <f t="shared" si="20"/>
        <v>8172.850568212467</v>
      </c>
      <c r="L47" s="19">
        <f t="shared" si="20"/>
        <v>9218.583353457894</v>
      </c>
      <c r="M47" s="19">
        <f t="shared" si="20"/>
        <v>10305.106501737278</v>
      </c>
      <c r="N47" s="19">
        <f t="shared" si="20"/>
        <v>11434.384561756131</v>
      </c>
      <c r="O47" s="19">
        <f t="shared" si="20"/>
        <v>16465.013555402526</v>
      </c>
      <c r="P47" s="19">
        <f t="shared" si="20"/>
        <v>17398.222820879346</v>
      </c>
    </row>
    <row r="48" spans="1:16" ht="14.25">
      <c r="A48" s="4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4" t="s">
        <v>39</v>
      </c>
      <c r="B49" s="4"/>
      <c r="C49" s="1">
        <f>B50</f>
        <v>5000</v>
      </c>
      <c r="D49" s="1">
        <f aca="true" t="shared" si="21" ref="D49:P49">C50</f>
        <v>1864.2731735282523</v>
      </c>
      <c r="E49" s="1">
        <f t="shared" si="21"/>
        <v>4551.194873251717</v>
      </c>
      <c r="F49" s="1">
        <f t="shared" si="21"/>
        <v>5555.470105862409</v>
      </c>
      <c r="G49" s="1">
        <f t="shared" si="21"/>
        <v>8224.54085577344</v>
      </c>
      <c r="H49" s="1">
        <f t="shared" si="21"/>
        <v>11623.690464707863</v>
      </c>
      <c r="I49" s="1">
        <f t="shared" si="21"/>
        <v>16735.85900046969</v>
      </c>
      <c r="J49" s="1">
        <f t="shared" si="21"/>
        <v>22691.856217786164</v>
      </c>
      <c r="K49" s="1">
        <f t="shared" si="21"/>
        <v>29857.89290242686</v>
      </c>
      <c r="L49" s="1">
        <f t="shared" si="21"/>
        <v>38030.743470639325</v>
      </c>
      <c r="M49" s="1">
        <f t="shared" si="21"/>
        <v>47249.32682409722</v>
      </c>
      <c r="N49" s="1">
        <f t="shared" si="21"/>
        <v>57554.4333258345</v>
      </c>
      <c r="O49" s="1">
        <f t="shared" si="21"/>
        <v>68988.81788759063</v>
      </c>
      <c r="P49" s="1">
        <f t="shared" si="21"/>
        <v>85453.83144299316</v>
      </c>
    </row>
    <row r="50" spans="1:16" ht="14.25">
      <c r="A50" s="4" t="s">
        <v>40</v>
      </c>
      <c r="B50" s="11">
        <v>5000</v>
      </c>
      <c r="C50" s="1">
        <f>C49+C47</f>
        <v>1864.2731735282523</v>
      </c>
      <c r="D50" s="1">
        <f aca="true" t="shared" si="22" ref="D50:P50">D49+D47</f>
        <v>4551.194873251717</v>
      </c>
      <c r="E50" s="1">
        <f t="shared" si="22"/>
        <v>5555.470105862409</v>
      </c>
      <c r="F50" s="1">
        <f t="shared" si="22"/>
        <v>8224.54085577344</v>
      </c>
      <c r="G50" s="1">
        <f t="shared" si="22"/>
        <v>11623.690464707863</v>
      </c>
      <c r="H50" s="1">
        <f t="shared" si="22"/>
        <v>16735.85900046969</v>
      </c>
      <c r="I50" s="1">
        <f t="shared" si="22"/>
        <v>22691.856217786164</v>
      </c>
      <c r="J50" s="1">
        <f t="shared" si="22"/>
        <v>29857.89290242686</v>
      </c>
      <c r="K50" s="1">
        <f t="shared" si="22"/>
        <v>38030.743470639325</v>
      </c>
      <c r="L50" s="1">
        <f t="shared" si="22"/>
        <v>47249.32682409722</v>
      </c>
      <c r="M50" s="1">
        <f t="shared" si="22"/>
        <v>57554.4333258345</v>
      </c>
      <c r="N50" s="1">
        <f t="shared" si="22"/>
        <v>68988.81788759063</v>
      </c>
      <c r="O50" s="1">
        <f t="shared" si="22"/>
        <v>85453.83144299316</v>
      </c>
      <c r="P50" s="1">
        <f t="shared" si="22"/>
        <v>102852.0542638725</v>
      </c>
    </row>
    <row r="52" spans="1:16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="10" customFormat="1" ht="15">
      <c r="A53" s="2" t="s">
        <v>2</v>
      </c>
    </row>
    <row r="54" spans="1:2" s="10" customFormat="1" ht="14.25">
      <c r="A54" s="49" t="s">
        <v>95</v>
      </c>
      <c r="B54" s="50">
        <v>0.18</v>
      </c>
    </row>
    <row r="55" spans="1:16" s="10" customFormat="1" ht="14.25">
      <c r="A55" s="49" t="s">
        <v>103</v>
      </c>
      <c r="B55" s="50">
        <v>0.03</v>
      </c>
      <c r="C55" s="54">
        <v>1</v>
      </c>
      <c r="D55" s="54">
        <v>2</v>
      </c>
      <c r="E55" s="54">
        <v>3</v>
      </c>
      <c r="F55" s="54">
        <v>4</v>
      </c>
      <c r="G55" s="54">
        <v>5</v>
      </c>
      <c r="H55" s="54">
        <v>6</v>
      </c>
      <c r="I55" s="54">
        <v>7</v>
      </c>
      <c r="J55" s="54">
        <v>8</v>
      </c>
      <c r="K55" s="54">
        <v>9</v>
      </c>
      <c r="L55" s="54">
        <v>10</v>
      </c>
      <c r="M55" s="54">
        <v>11</v>
      </c>
      <c r="N55" s="54">
        <v>12</v>
      </c>
      <c r="O55" s="54">
        <v>13</v>
      </c>
      <c r="P55" s="54">
        <v>14</v>
      </c>
    </row>
    <row r="56" spans="1:16" s="10" customFormat="1" ht="14.25">
      <c r="A56" s="49"/>
      <c r="B56" s="51"/>
      <c r="C56" s="48">
        <v>40359</v>
      </c>
      <c r="D56" s="48">
        <v>40724</v>
      </c>
      <c r="E56" s="48">
        <v>41090</v>
      </c>
      <c r="F56" s="48">
        <v>41455</v>
      </c>
      <c r="G56" s="48">
        <v>41820</v>
      </c>
      <c r="H56" s="48">
        <v>42185</v>
      </c>
      <c r="I56" s="48">
        <v>42551</v>
      </c>
      <c r="J56" s="48">
        <v>42916</v>
      </c>
      <c r="K56" s="48">
        <v>43281</v>
      </c>
      <c r="L56" s="48">
        <v>43646</v>
      </c>
      <c r="M56" s="48">
        <v>44012</v>
      </c>
      <c r="N56" s="48">
        <v>44377</v>
      </c>
      <c r="O56" s="48">
        <v>44742</v>
      </c>
      <c r="P56" s="48">
        <v>45107</v>
      </c>
    </row>
    <row r="57" spans="1:16" s="10" customFormat="1" ht="15.75" thickBot="1">
      <c r="A57" s="4" t="s">
        <v>96</v>
      </c>
      <c r="B57"/>
      <c r="C57" s="3">
        <v>2010</v>
      </c>
      <c r="D57" s="3">
        <v>2011</v>
      </c>
      <c r="E57" s="3">
        <v>2012</v>
      </c>
      <c r="F57" s="3">
        <v>2013</v>
      </c>
      <c r="G57" s="3">
        <v>2014</v>
      </c>
      <c r="H57" s="3">
        <v>2015</v>
      </c>
      <c r="I57" s="3">
        <v>2016</v>
      </c>
      <c r="J57" s="3">
        <v>2017</v>
      </c>
      <c r="K57" s="3">
        <v>2018</v>
      </c>
      <c r="L57" s="3">
        <v>2019</v>
      </c>
      <c r="M57" s="3">
        <v>2020</v>
      </c>
      <c r="N57" s="3">
        <v>2021</v>
      </c>
      <c r="O57" s="3">
        <v>2022</v>
      </c>
      <c r="P57" s="3">
        <v>2023</v>
      </c>
    </row>
    <row r="58" spans="1:16" s="10" customFormat="1" ht="14.25">
      <c r="A58" s="52" t="s">
        <v>38</v>
      </c>
      <c r="B58"/>
      <c r="C58" s="12">
        <f>C47</f>
        <v>-3135.7268264717477</v>
      </c>
      <c r="D58" s="12">
        <f aca="true" t="shared" si="23" ref="D58:P58">D47</f>
        <v>2686.9216997234644</v>
      </c>
      <c r="E58" s="12">
        <f t="shared" si="23"/>
        <v>1004.275232610692</v>
      </c>
      <c r="F58" s="12">
        <f t="shared" si="23"/>
        <v>2669.0707499110313</v>
      </c>
      <c r="G58" s="12">
        <f t="shared" si="23"/>
        <v>3399.149608934422</v>
      </c>
      <c r="H58" s="12">
        <f t="shared" si="23"/>
        <v>5112.168535761827</v>
      </c>
      <c r="I58" s="12">
        <f t="shared" si="23"/>
        <v>5955.997217316474</v>
      </c>
      <c r="J58" s="12">
        <f t="shared" si="23"/>
        <v>7166.036684640692</v>
      </c>
      <c r="K58" s="12">
        <f t="shared" si="23"/>
        <v>8172.850568212467</v>
      </c>
      <c r="L58" s="12">
        <f t="shared" si="23"/>
        <v>9218.583353457894</v>
      </c>
      <c r="M58" s="12">
        <f t="shared" si="23"/>
        <v>10305.106501737278</v>
      </c>
      <c r="N58" s="12">
        <f t="shared" si="23"/>
        <v>11434.384561756131</v>
      </c>
      <c r="O58" s="12">
        <f t="shared" si="23"/>
        <v>16465.013555402526</v>
      </c>
      <c r="P58" s="12">
        <f t="shared" si="23"/>
        <v>17398.222820879346</v>
      </c>
    </row>
    <row r="59" spans="1:16" s="10" customFormat="1" ht="14.25">
      <c r="A59" s="53" t="s">
        <v>98</v>
      </c>
      <c r="B59"/>
      <c r="C59" s="1">
        <f>-C45</f>
        <v>9285.714285714286</v>
      </c>
      <c r="D59" s="1">
        <f aca="true" t="shared" si="24" ref="D59:P59">-D45</f>
        <v>4285.714285714285</v>
      </c>
      <c r="E59" s="1">
        <f t="shared" si="24"/>
        <v>4285.714285714285</v>
      </c>
      <c r="F59" s="1">
        <f t="shared" si="24"/>
        <v>4285.714285714285</v>
      </c>
      <c r="G59" s="1">
        <f t="shared" si="24"/>
        <v>4285.714285714285</v>
      </c>
      <c r="H59" s="1">
        <f t="shared" si="24"/>
        <v>4285.714285714285</v>
      </c>
      <c r="I59" s="1">
        <f t="shared" si="24"/>
        <v>4285.7142857142835</v>
      </c>
      <c r="J59" s="1">
        <f t="shared" si="24"/>
        <v>4000</v>
      </c>
      <c r="K59" s="1">
        <f t="shared" si="24"/>
        <v>4000</v>
      </c>
      <c r="L59" s="1">
        <f t="shared" si="24"/>
        <v>4000</v>
      </c>
      <c r="M59" s="1">
        <f t="shared" si="24"/>
        <v>4000</v>
      </c>
      <c r="N59" s="1">
        <f t="shared" si="24"/>
        <v>4000</v>
      </c>
      <c r="O59" s="1">
        <f t="shared" si="24"/>
        <v>0</v>
      </c>
      <c r="P59" s="1">
        <f t="shared" si="24"/>
        <v>0</v>
      </c>
    </row>
    <row r="60" spans="1:16" s="10" customFormat="1" ht="14.25">
      <c r="A60" s="53" t="s">
        <v>99</v>
      </c>
      <c r="B60"/>
      <c r="C60" s="1">
        <f>-C7-C8</f>
        <v>4769.250062703787</v>
      </c>
      <c r="D60" s="1">
        <f aca="true" t="shared" si="25" ref="D60:P60">-D7-D8</f>
        <v>4253.636945480386</v>
      </c>
      <c r="E60" s="1">
        <f t="shared" si="25"/>
        <v>3892.323817961572</v>
      </c>
      <c r="F60" s="1">
        <f t="shared" si="25"/>
        <v>3531.0999451918206</v>
      </c>
      <c r="G60" s="1">
        <f t="shared" si="25"/>
        <v>3157.9017005404503</v>
      </c>
      <c r="H60" s="1">
        <f t="shared" si="25"/>
        <v>2772.4879669598263</v>
      </c>
      <c r="I60" s="1">
        <f t="shared" si="25"/>
        <v>2374.289995337292</v>
      </c>
      <c r="J60" s="1">
        <f t="shared" si="25"/>
        <v>1897.2512543989349</v>
      </c>
      <c r="K60" s="1">
        <f t="shared" si="25"/>
        <v>1340.5568181346691</v>
      </c>
      <c r="L60" s="1">
        <f t="shared" si="25"/>
        <v>773.5996485263173</v>
      </c>
      <c r="M60" s="1">
        <f t="shared" si="25"/>
        <v>195.98119925034143</v>
      </c>
      <c r="N60" s="1">
        <f t="shared" si="25"/>
        <v>-392.71625606712564</v>
      </c>
      <c r="O60" s="1">
        <f t="shared" si="25"/>
        <v>-772.2132466529191</v>
      </c>
      <c r="P60" s="1">
        <f t="shared" si="25"/>
        <v>-941.5294285343283</v>
      </c>
    </row>
    <row r="61" spans="1:16" s="10" customFormat="1" ht="14.25">
      <c r="A61" s="53" t="s">
        <v>100</v>
      </c>
      <c r="B61"/>
      <c r="C61" s="1">
        <f>-C60*$C$214</f>
        <v>-1669.2375219463254</v>
      </c>
      <c r="D61" s="1">
        <f aca="true" t="shared" si="26" ref="D61:P61">-D60*$C$214</f>
        <v>-1488.772930918135</v>
      </c>
      <c r="E61" s="1">
        <f t="shared" si="26"/>
        <v>-1362.31333628655</v>
      </c>
      <c r="F61" s="1">
        <f t="shared" si="26"/>
        <v>-1235.8849808171371</v>
      </c>
      <c r="G61" s="1">
        <f t="shared" si="26"/>
        <v>-1105.2655951891575</v>
      </c>
      <c r="H61" s="1">
        <f t="shared" si="26"/>
        <v>-970.3707884359392</v>
      </c>
      <c r="I61" s="1">
        <f t="shared" si="26"/>
        <v>-831.0014983680522</v>
      </c>
      <c r="J61" s="1">
        <f t="shared" si="26"/>
        <v>-664.0379390396272</v>
      </c>
      <c r="K61" s="1">
        <f t="shared" si="26"/>
        <v>-469.1948863471342</v>
      </c>
      <c r="L61" s="1">
        <f t="shared" si="26"/>
        <v>-270.759876984211</v>
      </c>
      <c r="M61" s="1">
        <f t="shared" si="26"/>
        <v>-68.5934197376195</v>
      </c>
      <c r="N61" s="1">
        <f t="shared" si="26"/>
        <v>137.45068962349396</v>
      </c>
      <c r="O61" s="1">
        <f t="shared" si="26"/>
        <v>270.2746363285217</v>
      </c>
      <c r="P61" s="1">
        <f t="shared" si="26"/>
        <v>329.53529998701487</v>
      </c>
    </row>
    <row r="62" spans="1:18" s="10" customFormat="1" ht="14.25">
      <c r="A62" s="6" t="s">
        <v>97</v>
      </c>
      <c r="B62"/>
      <c r="C62" s="8">
        <f aca="true" t="shared" si="27" ref="C62:P62">SUM(C58:C61)</f>
        <v>9250</v>
      </c>
      <c r="D62" s="8">
        <f t="shared" si="27"/>
        <v>9737.5</v>
      </c>
      <c r="E62" s="8">
        <f t="shared" si="27"/>
        <v>7819.999999999998</v>
      </c>
      <c r="F62" s="8">
        <f t="shared" si="27"/>
        <v>9250</v>
      </c>
      <c r="G62" s="8">
        <f t="shared" si="27"/>
        <v>9737.5</v>
      </c>
      <c r="H62" s="8">
        <f t="shared" si="27"/>
        <v>11200</v>
      </c>
      <c r="I62" s="8">
        <f t="shared" si="27"/>
        <v>11784.999999999998</v>
      </c>
      <c r="J62" s="8">
        <f t="shared" si="27"/>
        <v>12399.25</v>
      </c>
      <c r="K62" s="8">
        <f t="shared" si="27"/>
        <v>13044.212500000003</v>
      </c>
      <c r="L62" s="8">
        <f t="shared" si="27"/>
        <v>13721.423125</v>
      </c>
      <c r="M62" s="8">
        <f t="shared" si="27"/>
        <v>14432.494281250001</v>
      </c>
      <c r="N62" s="8">
        <f t="shared" si="27"/>
        <v>15179.1189953125</v>
      </c>
      <c r="O62" s="8">
        <f t="shared" si="27"/>
        <v>15963.07494507813</v>
      </c>
      <c r="P62" s="8">
        <f t="shared" si="27"/>
        <v>16786.22869233203</v>
      </c>
      <c r="R62" s="42"/>
    </row>
    <row r="63" spans="1:16" s="10" customFormat="1" ht="14.25">
      <c r="A63" s="6" t="s">
        <v>101</v>
      </c>
      <c r="B63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>
        <f>(P62*(1+B55))/(B54-B55)</f>
        <v>115265.43702067996</v>
      </c>
    </row>
    <row r="64" spans="1:16" s="10" customFormat="1" ht="14.25">
      <c r="A64" s="5" t="s">
        <v>102</v>
      </c>
      <c r="B64"/>
      <c r="C64" s="8">
        <f aca="true" t="shared" si="28" ref="C64:O64">SUM(C62:C63)</f>
        <v>9250</v>
      </c>
      <c r="D64" s="8">
        <f t="shared" si="28"/>
        <v>9737.5</v>
      </c>
      <c r="E64" s="8">
        <f t="shared" si="28"/>
        <v>7819.999999999998</v>
      </c>
      <c r="F64" s="8">
        <f t="shared" si="28"/>
        <v>9250</v>
      </c>
      <c r="G64" s="8">
        <f t="shared" si="28"/>
        <v>9737.5</v>
      </c>
      <c r="H64" s="8">
        <f t="shared" si="28"/>
        <v>11200</v>
      </c>
      <c r="I64" s="8">
        <f t="shared" si="28"/>
        <v>11784.999999999998</v>
      </c>
      <c r="J64" s="8">
        <f t="shared" si="28"/>
        <v>12399.25</v>
      </c>
      <c r="K64" s="8">
        <f t="shared" si="28"/>
        <v>13044.212500000003</v>
      </c>
      <c r="L64" s="8">
        <f t="shared" si="28"/>
        <v>13721.423125</v>
      </c>
      <c r="M64" s="8">
        <f t="shared" si="28"/>
        <v>14432.494281250001</v>
      </c>
      <c r="N64" s="8">
        <f t="shared" si="28"/>
        <v>15179.1189953125</v>
      </c>
      <c r="O64" s="8">
        <f t="shared" si="28"/>
        <v>15963.07494507813</v>
      </c>
      <c r="P64" s="8">
        <f>SUM(P62:P63)</f>
        <v>132051.665713012</v>
      </c>
    </row>
    <row r="65" spans="1:16" s="10" customFormat="1" ht="14.25">
      <c r="A65" s="5"/>
      <c r="B65"/>
      <c r="C65" s="55"/>
      <c r="D65" s="55"/>
      <c r="E65" s="55"/>
      <c r="F65" s="55"/>
      <c r="G65" s="55"/>
      <c r="H65" s="47"/>
      <c r="I65" s="47"/>
      <c r="J65" s="47"/>
      <c r="K65" s="47"/>
      <c r="L65" s="47"/>
      <c r="M65" s="47"/>
      <c r="N65" s="47"/>
      <c r="O65" s="47"/>
      <c r="P65" s="47"/>
    </row>
    <row r="66" spans="1:16" s="10" customFormat="1" ht="14.25">
      <c r="A66" s="56" t="s">
        <v>106</v>
      </c>
      <c r="B66" s="57"/>
      <c r="C66" s="58">
        <f aca="true" t="shared" si="29" ref="C66:P66">SUMPRODUCT($C74:$P74,C64:P64)</f>
        <v>70193.6679057485</v>
      </c>
      <c r="D66" s="58">
        <f t="shared" si="29"/>
        <v>72780.45617442303</v>
      </c>
      <c r="E66" s="58">
        <f t="shared" si="29"/>
        <v>75303.30578251297</v>
      </c>
      <c r="F66" s="58">
        <f t="shared" si="29"/>
        <v>80363.20647924673</v>
      </c>
      <c r="G66" s="58">
        <f t="shared" si="29"/>
        <v>84780.51169115094</v>
      </c>
      <c r="H66" s="58">
        <f t="shared" si="29"/>
        <v>89463.37129225189</v>
      </c>
      <c r="I66" s="58">
        <f t="shared" si="29"/>
        <v>93400.463974713</v>
      </c>
      <c r="J66" s="58">
        <f t="shared" si="29"/>
        <v>97410.76068128186</v>
      </c>
      <c r="K66" s="58">
        <f t="shared" si="29"/>
        <v>101475.66450336116</v>
      </c>
      <c r="L66" s="58">
        <f t="shared" si="29"/>
        <v>105571.64240715916</v>
      </c>
      <c r="M66" s="58">
        <f t="shared" si="29"/>
        <v>109669.25729707244</v>
      </c>
      <c r="N66" s="58">
        <f t="shared" si="29"/>
        <v>113732.02187877338</v>
      </c>
      <c r="O66" s="58">
        <f t="shared" si="29"/>
        <v>117715.04204736384</v>
      </c>
      <c r="P66" s="58">
        <f t="shared" si="29"/>
        <v>121563.41170659315</v>
      </c>
    </row>
    <row r="67" spans="1:16" s="10" customFormat="1" ht="14.25">
      <c r="A67" s="5" t="s">
        <v>104</v>
      </c>
      <c r="B67"/>
      <c r="C67" s="47">
        <f ca="1">SUMPRODUCT(OFFSET($C$74,0,0,1,15-C55),C64:$P64)</f>
        <v>70193.6679057485</v>
      </c>
      <c r="D67" s="47">
        <f ca="1">SUMPRODUCT(OFFSET($C$74,0,0,1,15-D55),D64:$P64)</f>
        <v>72780.45617442303</v>
      </c>
      <c r="E67" s="47">
        <f ca="1">SUMPRODUCT(OFFSET($C$74,0,0,1,15-E55),E64:$P64)</f>
        <v>75303.30578251297</v>
      </c>
      <c r="F67" s="47">
        <f ca="1">SUMPRODUCT(OFFSET($C$74,0,0,1,15-F55),F64:$P64)</f>
        <v>80363.20647924673</v>
      </c>
      <c r="G67" s="47">
        <f ca="1">SUMPRODUCT(OFFSET($C$74,0,0,1,15-G55),G64:$P64)</f>
        <v>84780.51169115094</v>
      </c>
      <c r="H67" s="47">
        <f ca="1">SUMPRODUCT(OFFSET($C$74,0,0,1,15-H55),H64:$P64)</f>
        <v>89463.37129225189</v>
      </c>
      <c r="I67" s="47">
        <f ca="1">SUMPRODUCT(OFFSET($C$74,0,0,1,15-I55),I64:$P64)</f>
        <v>93400.463974713</v>
      </c>
      <c r="J67" s="47">
        <f ca="1">SUMPRODUCT(OFFSET($C$74,0,0,1,15-J55),J64:$P64)</f>
        <v>97410.76068128186</v>
      </c>
      <c r="K67" s="47">
        <f ca="1">SUMPRODUCT(OFFSET($C$74,0,0,1,15-K55),K64:$P64)</f>
        <v>101475.66450336116</v>
      </c>
      <c r="L67" s="47">
        <f ca="1">SUMPRODUCT(OFFSET($C$74,0,0,1,15-L55),L64:$P64)</f>
        <v>105571.64240715916</v>
      </c>
      <c r="M67" s="47">
        <f ca="1">SUMPRODUCT(OFFSET($C$74,0,0,1,15-M55),M64:$P64)</f>
        <v>109669.25729707244</v>
      </c>
      <c r="N67" s="47">
        <f ca="1">SUMPRODUCT(OFFSET($C$74,0,0,1,15-N55),N64:$P64)</f>
        <v>113732.02187877338</v>
      </c>
      <c r="O67" s="47">
        <f ca="1">SUMPRODUCT(OFFSET($C$74,0,0,1,15-O55),O64:$P64)</f>
        <v>117715.04204736384</v>
      </c>
      <c r="P67" s="47">
        <f ca="1">SUMPRODUCT(OFFSET($C$74,0,0,1,15-P55),P64:$P64)</f>
        <v>121563.41170659315</v>
      </c>
    </row>
    <row r="68" spans="1:16" s="10" customFormat="1" ht="14.25">
      <c r="A68" s="6" t="s">
        <v>6</v>
      </c>
      <c r="B68"/>
      <c r="C68" s="1">
        <f aca="true" t="shared" si="30" ref="C68:K68">C50</f>
        <v>1864.2731735282523</v>
      </c>
      <c r="D68" s="1">
        <f t="shared" si="30"/>
        <v>4551.194873251717</v>
      </c>
      <c r="E68" s="1">
        <f t="shared" si="30"/>
        <v>5555.470105862409</v>
      </c>
      <c r="F68" s="1">
        <f t="shared" si="30"/>
        <v>8224.54085577344</v>
      </c>
      <c r="G68" s="1">
        <f t="shared" si="30"/>
        <v>11623.690464707863</v>
      </c>
      <c r="H68" s="1">
        <f t="shared" si="30"/>
        <v>16735.85900046969</v>
      </c>
      <c r="I68" s="1">
        <f t="shared" si="30"/>
        <v>22691.856217786164</v>
      </c>
      <c r="J68" s="1">
        <f t="shared" si="30"/>
        <v>29857.89290242686</v>
      </c>
      <c r="K68" s="1">
        <f t="shared" si="30"/>
        <v>38030.743470639325</v>
      </c>
      <c r="L68" s="1">
        <f>L50</f>
        <v>47249.32682409722</v>
      </c>
      <c r="M68" s="1">
        <f>M50</f>
        <v>57554.4333258345</v>
      </c>
      <c r="N68" s="1">
        <f>N50</f>
        <v>68988.81788759063</v>
      </c>
      <c r="O68" s="1">
        <f>O50</f>
        <v>85453.83144299316</v>
      </c>
      <c r="P68" s="1">
        <f>P50</f>
        <v>102852.0542638725</v>
      </c>
    </row>
    <row r="69" spans="1:16" s="10" customFormat="1" ht="14.25">
      <c r="A69" s="6" t="s">
        <v>7</v>
      </c>
      <c r="B69"/>
      <c r="C69" s="1">
        <f aca="true" t="shared" si="31" ref="C69:K69">-C20</f>
        <v>-45714.28571428571</v>
      </c>
      <c r="D69" s="1">
        <f t="shared" si="31"/>
        <v>-41428.57142857143</v>
      </c>
      <c r="E69" s="1">
        <f t="shared" si="31"/>
        <v>-37142.857142857145</v>
      </c>
      <c r="F69" s="1">
        <f t="shared" si="31"/>
        <v>-32857.142857142855</v>
      </c>
      <c r="G69" s="1">
        <f t="shared" si="31"/>
        <v>-28571.42857142857</v>
      </c>
      <c r="H69" s="1">
        <f t="shared" si="31"/>
        <v>-24285.714285714283</v>
      </c>
      <c r="I69" s="1">
        <f t="shared" si="31"/>
        <v>-20000</v>
      </c>
      <c r="J69" s="1">
        <f t="shared" si="31"/>
        <v>-16000</v>
      </c>
      <c r="K69" s="1">
        <f t="shared" si="31"/>
        <v>-12000</v>
      </c>
      <c r="L69" s="1">
        <f>-L20</f>
        <v>-8000</v>
      </c>
      <c r="M69" s="1">
        <f>-M20</f>
        <v>-4000</v>
      </c>
      <c r="N69" s="1">
        <f>-N20</f>
        <v>0</v>
      </c>
      <c r="O69" s="1">
        <f>-O20</f>
        <v>0</v>
      </c>
      <c r="P69" s="1">
        <f>-P20</f>
        <v>0</v>
      </c>
    </row>
    <row r="70" spans="1:16" s="10" customFormat="1" ht="14.25">
      <c r="A70" s="6" t="s">
        <v>92</v>
      </c>
      <c r="B70"/>
      <c r="C70" s="1">
        <f>C158</f>
        <v>0</v>
      </c>
      <c r="D70" s="1">
        <f aca="true" t="shared" si="32" ref="D70:K70">D158</f>
        <v>52.981765462221624</v>
      </c>
      <c r="E70" s="1">
        <f t="shared" si="32"/>
        <v>106.5467741643806</v>
      </c>
      <c r="F70" s="1">
        <f t="shared" si="32"/>
        <v>204.37864713046855</v>
      </c>
      <c r="G70" s="1">
        <f t="shared" si="32"/>
        <v>318.17758902666776</v>
      </c>
      <c r="H70" s="1">
        <f t="shared" si="32"/>
        <v>467.9727211817428</v>
      </c>
      <c r="I70" s="1">
        <f t="shared" si="32"/>
        <v>635.9743506129986</v>
      </c>
      <c r="J70" s="1">
        <f t="shared" si="32"/>
        <v>833.8036499397524</v>
      </c>
      <c r="K70" s="1">
        <f t="shared" si="32"/>
        <v>1064.3600003090073</v>
      </c>
      <c r="L70" s="1">
        <f>L158</f>
        <v>1329.959552100368</v>
      </c>
      <c r="M70" s="1">
        <f>M158</f>
        <v>1632.8439157538687</v>
      </c>
      <c r="N70" s="1">
        <f>N158</f>
        <v>1975.1442769252753</v>
      </c>
      <c r="O70" s="1">
        <f>O158</f>
        <v>2356.163538863034</v>
      </c>
      <c r="P70" s="1">
        <f>P158</f>
        <v>2774.5211966992097</v>
      </c>
    </row>
    <row r="71" spans="1:16" s="10" customFormat="1" ht="15" thickBot="1">
      <c r="A71" s="5" t="s">
        <v>8</v>
      </c>
      <c r="B71"/>
      <c r="C71" s="9">
        <f>SUM(C67:C70)</f>
        <v>26343.65536499105</v>
      </c>
      <c r="D71" s="9">
        <f aca="true" t="shared" si="33" ref="D71:P71">SUM(D67:D70)</f>
        <v>35956.061384565546</v>
      </c>
      <c r="E71" s="9">
        <f t="shared" si="33"/>
        <v>43822.465519682606</v>
      </c>
      <c r="F71" s="9">
        <f t="shared" si="33"/>
        <v>55934.98312500778</v>
      </c>
      <c r="G71" s="9">
        <f t="shared" si="33"/>
        <v>68150.95117345691</v>
      </c>
      <c r="H71" s="9">
        <f t="shared" si="33"/>
        <v>82381.48872818904</v>
      </c>
      <c r="I71" s="9">
        <f t="shared" si="33"/>
        <v>96728.29454311216</v>
      </c>
      <c r="J71" s="9">
        <f t="shared" si="33"/>
        <v>112102.45723364847</v>
      </c>
      <c r="K71" s="9">
        <f t="shared" si="33"/>
        <v>128570.7679743095</v>
      </c>
      <c r="L71" s="9">
        <f t="shared" si="33"/>
        <v>146150.92878335674</v>
      </c>
      <c r="M71" s="9">
        <f t="shared" si="33"/>
        <v>164856.53453866084</v>
      </c>
      <c r="N71" s="9">
        <f t="shared" si="33"/>
        <v>184695.9840432893</v>
      </c>
      <c r="O71" s="9">
        <f t="shared" si="33"/>
        <v>205525.03702922005</v>
      </c>
      <c r="P71" s="9">
        <f t="shared" si="33"/>
        <v>227189.98716716486</v>
      </c>
    </row>
    <row r="72" s="10" customFormat="1" ht="15" thickTop="1"/>
    <row r="73" s="10" customFormat="1" ht="14.25"/>
    <row r="74" spans="1:16" s="10" customFormat="1" ht="14.25">
      <c r="A74" s="59" t="s">
        <v>105</v>
      </c>
      <c r="C74" s="61">
        <f>1/(1+$B$54)^(C55-0.5)</f>
        <v>0.9205746178983235</v>
      </c>
      <c r="D74" s="32">
        <f aca="true" t="shared" si="34" ref="D74:P74">1/(1+$B$54)^(D55-0.5)</f>
        <v>0.7801479812697657</v>
      </c>
      <c r="E74" s="32">
        <f t="shared" si="34"/>
        <v>0.6611423570082761</v>
      </c>
      <c r="F74" s="32">
        <f t="shared" si="34"/>
        <v>0.560290133057861</v>
      </c>
      <c r="G74" s="32">
        <f t="shared" si="34"/>
        <v>0.47482214665920436</v>
      </c>
      <c r="H74" s="32">
        <f t="shared" si="34"/>
        <v>0.4023916497111901</v>
      </c>
      <c r="I74" s="32">
        <f t="shared" si="34"/>
        <v>0.3410098726366018</v>
      </c>
      <c r="J74" s="32">
        <f t="shared" si="34"/>
        <v>0.28899141748864565</v>
      </c>
      <c r="K74" s="32">
        <f t="shared" si="34"/>
        <v>0.24490798092258106</v>
      </c>
      <c r="L74" s="32">
        <f t="shared" si="34"/>
        <v>0.20754913637506872</v>
      </c>
      <c r="M74" s="32">
        <f t="shared" si="34"/>
        <v>0.1758890986229396</v>
      </c>
      <c r="N74" s="32">
        <f t="shared" si="34"/>
        <v>0.14905855815503358</v>
      </c>
      <c r="O74" s="32">
        <f t="shared" si="34"/>
        <v>0.12632081199579115</v>
      </c>
      <c r="P74" s="32">
        <f t="shared" si="34"/>
        <v>0.10705153558965354</v>
      </c>
    </row>
    <row r="75" spans="1:16" s="10" customFormat="1" ht="14.25">
      <c r="A75" s="59"/>
      <c r="C75" s="32"/>
      <c r="D75" s="32">
        <f>C74</f>
        <v>0.9205746178983235</v>
      </c>
      <c r="E75" s="32">
        <f aca="true" t="shared" si="35" ref="E75:P87">D74</f>
        <v>0.7801479812697657</v>
      </c>
      <c r="F75" s="32">
        <f t="shared" si="35"/>
        <v>0.6611423570082761</v>
      </c>
      <c r="G75" s="32">
        <f t="shared" si="35"/>
        <v>0.560290133057861</v>
      </c>
      <c r="H75" s="32">
        <f t="shared" si="35"/>
        <v>0.47482214665920436</v>
      </c>
      <c r="I75" s="32">
        <f t="shared" si="35"/>
        <v>0.4023916497111901</v>
      </c>
      <c r="J75" s="32">
        <f t="shared" si="35"/>
        <v>0.3410098726366018</v>
      </c>
      <c r="K75" s="32">
        <f t="shared" si="35"/>
        <v>0.28899141748864565</v>
      </c>
      <c r="L75" s="32">
        <f t="shared" si="35"/>
        <v>0.24490798092258106</v>
      </c>
      <c r="M75" s="32">
        <f t="shared" si="35"/>
        <v>0.20754913637506872</v>
      </c>
      <c r="N75" s="32">
        <f t="shared" si="35"/>
        <v>0.1758890986229396</v>
      </c>
      <c r="O75" s="32">
        <f t="shared" si="35"/>
        <v>0.14905855815503358</v>
      </c>
      <c r="P75" s="32">
        <f t="shared" si="35"/>
        <v>0.12632081199579115</v>
      </c>
    </row>
    <row r="76" spans="1:17" s="10" customFormat="1" ht="14.25">
      <c r="A76" s="59"/>
      <c r="C76" s="32"/>
      <c r="D76" s="32"/>
      <c r="E76" s="32">
        <f>D75</f>
        <v>0.9205746178983235</v>
      </c>
      <c r="F76" s="32">
        <f t="shared" si="35"/>
        <v>0.7801479812697657</v>
      </c>
      <c r="G76" s="32">
        <f t="shared" si="35"/>
        <v>0.6611423570082761</v>
      </c>
      <c r="H76" s="32">
        <f t="shared" si="35"/>
        <v>0.560290133057861</v>
      </c>
      <c r="I76" s="32">
        <f t="shared" si="35"/>
        <v>0.47482214665920436</v>
      </c>
      <c r="J76" s="32">
        <f t="shared" si="35"/>
        <v>0.4023916497111901</v>
      </c>
      <c r="K76" s="32">
        <f t="shared" si="35"/>
        <v>0.3410098726366018</v>
      </c>
      <c r="L76" s="32">
        <f t="shared" si="35"/>
        <v>0.28899141748864565</v>
      </c>
      <c r="M76" s="32">
        <f t="shared" si="35"/>
        <v>0.24490798092258106</v>
      </c>
      <c r="N76" s="32">
        <f t="shared" si="35"/>
        <v>0.20754913637506872</v>
      </c>
      <c r="O76" s="32">
        <f t="shared" si="35"/>
        <v>0.1758890986229396</v>
      </c>
      <c r="P76" s="32">
        <f t="shared" si="35"/>
        <v>0.14905855815503358</v>
      </c>
      <c r="Q76" s="32"/>
    </row>
    <row r="77" spans="1:18" s="10" customFormat="1" ht="14.25">
      <c r="A77" s="59"/>
      <c r="C77" s="32"/>
      <c r="D77" s="32"/>
      <c r="E77" s="32"/>
      <c r="F77" s="32">
        <f>E76</f>
        <v>0.9205746178983235</v>
      </c>
      <c r="G77" s="32">
        <f t="shared" si="35"/>
        <v>0.7801479812697657</v>
      </c>
      <c r="H77" s="32">
        <f t="shared" si="35"/>
        <v>0.6611423570082761</v>
      </c>
      <c r="I77" s="32">
        <f t="shared" si="35"/>
        <v>0.560290133057861</v>
      </c>
      <c r="J77" s="32">
        <f t="shared" si="35"/>
        <v>0.47482214665920436</v>
      </c>
      <c r="K77" s="32">
        <f t="shared" si="35"/>
        <v>0.4023916497111901</v>
      </c>
      <c r="L77" s="32">
        <f t="shared" si="35"/>
        <v>0.3410098726366018</v>
      </c>
      <c r="M77" s="32">
        <f t="shared" si="35"/>
        <v>0.28899141748864565</v>
      </c>
      <c r="N77" s="32">
        <f t="shared" si="35"/>
        <v>0.24490798092258106</v>
      </c>
      <c r="O77" s="32">
        <f t="shared" si="35"/>
        <v>0.20754913637506872</v>
      </c>
      <c r="P77" s="32">
        <f t="shared" si="35"/>
        <v>0.1758890986229396</v>
      </c>
      <c r="Q77" s="32"/>
      <c r="R77" s="32"/>
    </row>
    <row r="78" spans="1:19" s="10" customFormat="1" ht="14.25">
      <c r="A78" s="59"/>
      <c r="C78" s="32"/>
      <c r="D78" s="32"/>
      <c r="E78" s="32"/>
      <c r="F78" s="32"/>
      <c r="G78" s="32">
        <f>F77</f>
        <v>0.9205746178983235</v>
      </c>
      <c r="H78" s="32">
        <f t="shared" si="35"/>
        <v>0.7801479812697657</v>
      </c>
      <c r="I78" s="32">
        <f t="shared" si="35"/>
        <v>0.6611423570082761</v>
      </c>
      <c r="J78" s="32">
        <f t="shared" si="35"/>
        <v>0.560290133057861</v>
      </c>
      <c r="K78" s="32">
        <f t="shared" si="35"/>
        <v>0.47482214665920436</v>
      </c>
      <c r="L78" s="32">
        <f t="shared" si="35"/>
        <v>0.4023916497111901</v>
      </c>
      <c r="M78" s="32">
        <f t="shared" si="35"/>
        <v>0.3410098726366018</v>
      </c>
      <c r="N78" s="32">
        <f t="shared" si="35"/>
        <v>0.28899141748864565</v>
      </c>
      <c r="O78" s="32">
        <f t="shared" si="35"/>
        <v>0.24490798092258106</v>
      </c>
      <c r="P78" s="32">
        <f t="shared" si="35"/>
        <v>0.20754913637506872</v>
      </c>
      <c r="Q78" s="32"/>
      <c r="R78" s="32"/>
      <c r="S78" s="32"/>
    </row>
    <row r="79" spans="1:20" s="10" customFormat="1" ht="14.25">
      <c r="A79" s="59"/>
      <c r="C79" s="32"/>
      <c r="D79" s="32"/>
      <c r="E79" s="32"/>
      <c r="F79" s="32"/>
      <c r="G79" s="32"/>
      <c r="H79" s="32">
        <f>G78</f>
        <v>0.9205746178983235</v>
      </c>
      <c r="I79" s="32">
        <f t="shared" si="35"/>
        <v>0.7801479812697657</v>
      </c>
      <c r="J79" s="32">
        <f t="shared" si="35"/>
        <v>0.6611423570082761</v>
      </c>
      <c r="K79" s="32">
        <f t="shared" si="35"/>
        <v>0.560290133057861</v>
      </c>
      <c r="L79" s="32">
        <f t="shared" si="35"/>
        <v>0.47482214665920436</v>
      </c>
      <c r="M79" s="32">
        <f t="shared" si="35"/>
        <v>0.4023916497111901</v>
      </c>
      <c r="N79" s="32">
        <f t="shared" si="35"/>
        <v>0.3410098726366018</v>
      </c>
      <c r="O79" s="32">
        <f t="shared" si="35"/>
        <v>0.28899141748864565</v>
      </c>
      <c r="P79" s="32">
        <f t="shared" si="35"/>
        <v>0.24490798092258106</v>
      </c>
      <c r="Q79" s="32"/>
      <c r="R79" s="32"/>
      <c r="S79" s="32"/>
      <c r="T79" s="32"/>
    </row>
    <row r="80" spans="1:21" s="10" customFormat="1" ht="14.25">
      <c r="A80" s="59"/>
      <c r="C80" s="32"/>
      <c r="D80" s="32"/>
      <c r="E80" s="32"/>
      <c r="F80" s="32"/>
      <c r="G80" s="32"/>
      <c r="H80" s="32"/>
      <c r="I80" s="32">
        <f>H79</f>
        <v>0.9205746178983235</v>
      </c>
      <c r="J80" s="32">
        <f t="shared" si="35"/>
        <v>0.7801479812697657</v>
      </c>
      <c r="K80" s="32">
        <f t="shared" si="35"/>
        <v>0.6611423570082761</v>
      </c>
      <c r="L80" s="32">
        <f t="shared" si="35"/>
        <v>0.560290133057861</v>
      </c>
      <c r="M80" s="32">
        <f t="shared" si="35"/>
        <v>0.47482214665920436</v>
      </c>
      <c r="N80" s="32">
        <f t="shared" si="35"/>
        <v>0.4023916497111901</v>
      </c>
      <c r="O80" s="32">
        <f t="shared" si="35"/>
        <v>0.3410098726366018</v>
      </c>
      <c r="P80" s="32">
        <f t="shared" si="35"/>
        <v>0.28899141748864565</v>
      </c>
      <c r="Q80" s="32"/>
      <c r="R80" s="32"/>
      <c r="S80" s="32"/>
      <c r="T80" s="32"/>
      <c r="U80" s="32"/>
    </row>
    <row r="81" spans="1:22" s="10" customFormat="1" ht="14.25">
      <c r="A81" s="59"/>
      <c r="C81" s="32"/>
      <c r="D81" s="32"/>
      <c r="E81" s="32"/>
      <c r="F81" s="32"/>
      <c r="G81" s="32"/>
      <c r="H81" s="32"/>
      <c r="I81" s="32"/>
      <c r="J81" s="32">
        <f>I80</f>
        <v>0.9205746178983235</v>
      </c>
      <c r="K81" s="32">
        <f t="shared" si="35"/>
        <v>0.7801479812697657</v>
      </c>
      <c r="L81" s="32">
        <f t="shared" si="35"/>
        <v>0.6611423570082761</v>
      </c>
      <c r="M81" s="32">
        <f t="shared" si="35"/>
        <v>0.560290133057861</v>
      </c>
      <c r="N81" s="32">
        <f t="shared" si="35"/>
        <v>0.47482214665920436</v>
      </c>
      <c r="O81" s="32">
        <f t="shared" si="35"/>
        <v>0.4023916497111901</v>
      </c>
      <c r="P81" s="32">
        <f t="shared" si="35"/>
        <v>0.3410098726366018</v>
      </c>
      <c r="Q81" s="32"/>
      <c r="R81" s="32"/>
      <c r="S81" s="32"/>
      <c r="T81" s="32"/>
      <c r="U81" s="32"/>
      <c r="V81" s="32"/>
    </row>
    <row r="82" spans="1:23" s="10" customFormat="1" ht="14.25">
      <c r="A82" s="59"/>
      <c r="C82" s="32"/>
      <c r="D82" s="32"/>
      <c r="E82" s="32"/>
      <c r="F82" s="32"/>
      <c r="G82" s="32"/>
      <c r="H82" s="32"/>
      <c r="I82" s="32"/>
      <c r="J82" s="32"/>
      <c r="K82" s="32">
        <f>J81</f>
        <v>0.9205746178983235</v>
      </c>
      <c r="L82" s="32">
        <f t="shared" si="35"/>
        <v>0.7801479812697657</v>
      </c>
      <c r="M82" s="32">
        <f t="shared" si="35"/>
        <v>0.6611423570082761</v>
      </c>
      <c r="N82" s="32">
        <f t="shared" si="35"/>
        <v>0.560290133057861</v>
      </c>
      <c r="O82" s="32">
        <f t="shared" si="35"/>
        <v>0.47482214665920436</v>
      </c>
      <c r="P82" s="32">
        <f t="shared" si="35"/>
        <v>0.4023916497111901</v>
      </c>
      <c r="Q82" s="32"/>
      <c r="R82" s="32"/>
      <c r="S82" s="32"/>
      <c r="T82" s="32"/>
      <c r="U82" s="32"/>
      <c r="V82" s="32"/>
      <c r="W82" s="32"/>
    </row>
    <row r="83" spans="1:24" s="10" customFormat="1" ht="14.25">
      <c r="A83" s="59"/>
      <c r="C83" s="32"/>
      <c r="D83" s="32"/>
      <c r="E83" s="32"/>
      <c r="F83" s="32"/>
      <c r="G83" s="32"/>
      <c r="H83" s="32"/>
      <c r="I83" s="32"/>
      <c r="J83" s="32"/>
      <c r="K83" s="32"/>
      <c r="L83" s="32">
        <f>K82</f>
        <v>0.9205746178983235</v>
      </c>
      <c r="M83" s="32">
        <f t="shared" si="35"/>
        <v>0.7801479812697657</v>
      </c>
      <c r="N83" s="32">
        <f t="shared" si="35"/>
        <v>0.6611423570082761</v>
      </c>
      <c r="O83" s="32">
        <f t="shared" si="35"/>
        <v>0.560290133057861</v>
      </c>
      <c r="P83" s="32">
        <f t="shared" si="35"/>
        <v>0.47482214665920436</v>
      </c>
      <c r="Q83" s="32"/>
      <c r="R83" s="32"/>
      <c r="S83" s="32"/>
      <c r="T83" s="32"/>
      <c r="U83" s="32"/>
      <c r="V83" s="32"/>
      <c r="W83" s="32"/>
      <c r="X83" s="32"/>
    </row>
    <row r="84" spans="1:24" s="10" customFormat="1" ht="14.25">
      <c r="A84" s="59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>
        <f t="shared" si="35"/>
        <v>0.9205746178983235</v>
      </c>
      <c r="N84" s="32">
        <f t="shared" si="35"/>
        <v>0.7801479812697657</v>
      </c>
      <c r="O84" s="32">
        <f t="shared" si="35"/>
        <v>0.6611423570082761</v>
      </c>
      <c r="P84" s="32">
        <f t="shared" si="35"/>
        <v>0.560290133057861</v>
      </c>
      <c r="Q84" s="32"/>
      <c r="R84" s="32"/>
      <c r="S84" s="32"/>
      <c r="T84" s="32"/>
      <c r="U84" s="32"/>
      <c r="V84" s="32"/>
      <c r="W84" s="32"/>
      <c r="X84" s="32"/>
    </row>
    <row r="85" spans="1:25" s="10" customFormat="1" ht="14.25">
      <c r="A85" s="59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>
        <f t="shared" si="35"/>
        <v>0.9205746178983235</v>
      </c>
      <c r="O85" s="32">
        <f t="shared" si="35"/>
        <v>0.7801479812697657</v>
      </c>
      <c r="P85" s="32">
        <f t="shared" si="35"/>
        <v>0.6611423570082761</v>
      </c>
      <c r="Q85" s="32"/>
      <c r="R85" s="32"/>
      <c r="S85" s="32"/>
      <c r="T85" s="32"/>
      <c r="U85" s="32"/>
      <c r="V85" s="32"/>
      <c r="W85" s="32"/>
      <c r="X85" s="32"/>
      <c r="Y85" s="32"/>
    </row>
    <row r="86" spans="1:26" s="10" customFormat="1" ht="14.25">
      <c r="A86" s="59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>
        <f t="shared" si="35"/>
        <v>0.9205746178983235</v>
      </c>
      <c r="P86" s="32">
        <f t="shared" si="35"/>
        <v>0.7801479812697657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7" s="10" customFormat="1" ht="14.25">
      <c r="A87" s="59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f t="shared" si="35"/>
        <v>0.9205746178983235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2:27" s="10" customFormat="1" ht="14.25">
      <c r="B88" s="28" t="s">
        <v>108</v>
      </c>
      <c r="C88" s="28" t="s">
        <v>109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s="10" customFormat="1" ht="14.25">
      <c r="A89" s="59" t="s">
        <v>107</v>
      </c>
      <c r="B89" s="12">
        <f>SUM(C89:P89)</f>
        <v>70193.6679057485</v>
      </c>
      <c r="C89" s="60">
        <f>C74*C$64</f>
        <v>8515.315215559493</v>
      </c>
      <c r="D89" s="60">
        <f aca="true" t="shared" si="36" ref="D89:P89">D74*D$64</f>
        <v>7596.690967614343</v>
      </c>
      <c r="E89" s="60">
        <f t="shared" si="36"/>
        <v>5170.133231804718</v>
      </c>
      <c r="F89" s="60">
        <f t="shared" si="36"/>
        <v>5182.683730785215</v>
      </c>
      <c r="G89" s="60">
        <f t="shared" si="36"/>
        <v>4623.580653094003</v>
      </c>
      <c r="H89" s="60">
        <f t="shared" si="36"/>
        <v>4506.786476765329</v>
      </c>
      <c r="I89" s="60">
        <f t="shared" si="36"/>
        <v>4018.8013490223516</v>
      </c>
      <c r="J89" s="60">
        <f t="shared" si="36"/>
        <v>3583.2768332960895</v>
      </c>
      <c r="K89" s="60">
        <f t="shared" si="36"/>
        <v>3194.6317461000945</v>
      </c>
      <c r="L89" s="60">
        <f t="shared" si="36"/>
        <v>2847.8695194306465</v>
      </c>
      <c r="M89" s="60">
        <f t="shared" si="36"/>
        <v>2538.5184100097936</v>
      </c>
      <c r="N89" s="60">
        <f t="shared" si="36"/>
        <v>2262.577591504963</v>
      </c>
      <c r="O89" s="60">
        <f t="shared" si="36"/>
        <v>2016.4685890119385</v>
      </c>
      <c r="P89" s="60">
        <f t="shared" si="36"/>
        <v>14136.333591749535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s="10" customFormat="1" ht="14.25">
      <c r="A90" s="59"/>
      <c r="B90" s="12">
        <f aca="true" t="shared" si="37" ref="B90:B102">SUM(C90:P90)</f>
        <v>72780.45617442303</v>
      </c>
      <c r="C90" s="60">
        <f aca="true" t="shared" si="38" ref="C90:P90">C75*C$64</f>
        <v>0</v>
      </c>
      <c r="D90" s="60">
        <f t="shared" si="38"/>
        <v>8964.095341784925</v>
      </c>
      <c r="E90" s="60">
        <f t="shared" si="38"/>
        <v>6100.757213529567</v>
      </c>
      <c r="F90" s="60">
        <f t="shared" si="38"/>
        <v>6115.566802326553</v>
      </c>
      <c r="G90" s="60">
        <f t="shared" si="38"/>
        <v>5455.825170650922</v>
      </c>
      <c r="H90" s="60">
        <f t="shared" si="38"/>
        <v>5318.008042583089</v>
      </c>
      <c r="I90" s="60">
        <f t="shared" si="38"/>
        <v>4742.185591846375</v>
      </c>
      <c r="J90" s="60">
        <f t="shared" si="38"/>
        <v>4228.266663289385</v>
      </c>
      <c r="K90" s="60">
        <f t="shared" si="38"/>
        <v>3769.665460398111</v>
      </c>
      <c r="L90" s="60">
        <f t="shared" si="38"/>
        <v>3360.4860329281623</v>
      </c>
      <c r="M90" s="60">
        <f t="shared" si="38"/>
        <v>2995.451723811556</v>
      </c>
      <c r="N90" s="60">
        <f t="shared" si="38"/>
        <v>2669.841557975856</v>
      </c>
      <c r="O90" s="60">
        <f t="shared" si="38"/>
        <v>2379.4329350340877</v>
      </c>
      <c r="P90" s="60">
        <f t="shared" si="38"/>
        <v>16680.873638264446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s="10" customFormat="1" ht="14.25">
      <c r="A91" s="59"/>
      <c r="B91" s="12">
        <f t="shared" si="37"/>
        <v>75303.30578251297</v>
      </c>
      <c r="C91" s="60">
        <f aca="true" t="shared" si="39" ref="C91:P91">C76*C$64</f>
        <v>0</v>
      </c>
      <c r="D91" s="60">
        <f t="shared" si="39"/>
        <v>0</v>
      </c>
      <c r="E91" s="60">
        <f t="shared" si="39"/>
        <v>7198.893511964889</v>
      </c>
      <c r="F91" s="60">
        <f t="shared" si="39"/>
        <v>7216.368826745333</v>
      </c>
      <c r="G91" s="60">
        <f t="shared" si="39"/>
        <v>6437.873701368088</v>
      </c>
      <c r="H91" s="60">
        <f t="shared" si="39"/>
        <v>6275.249490248043</v>
      </c>
      <c r="I91" s="60">
        <f t="shared" si="39"/>
        <v>5595.7789983787225</v>
      </c>
      <c r="J91" s="60">
        <f t="shared" si="39"/>
        <v>4989.354662681474</v>
      </c>
      <c r="K91" s="60">
        <f t="shared" si="39"/>
        <v>4448.20524326977</v>
      </c>
      <c r="L91" s="60">
        <f t="shared" si="39"/>
        <v>3965.373518855232</v>
      </c>
      <c r="M91" s="60">
        <f t="shared" si="39"/>
        <v>3534.6330340976356</v>
      </c>
      <c r="N91" s="60">
        <f t="shared" si="39"/>
        <v>3150.41303841151</v>
      </c>
      <c r="O91" s="60">
        <f t="shared" si="39"/>
        <v>2807.7308633402236</v>
      </c>
      <c r="P91" s="60">
        <f t="shared" si="39"/>
        <v>19683.43089315205</v>
      </c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s="10" customFormat="1" ht="14.25">
      <c r="A92" s="59"/>
      <c r="B92" s="12">
        <f t="shared" si="37"/>
        <v>80363.20647924673</v>
      </c>
      <c r="C92" s="60">
        <f aca="true" t="shared" si="40" ref="C92:P92">C77*C$64</f>
        <v>0</v>
      </c>
      <c r="D92" s="60">
        <f t="shared" si="40"/>
        <v>0</v>
      </c>
      <c r="E92" s="60">
        <f t="shared" si="40"/>
        <v>0</v>
      </c>
      <c r="F92" s="60">
        <f t="shared" si="40"/>
        <v>8515.315215559493</v>
      </c>
      <c r="G92" s="60">
        <f t="shared" si="40"/>
        <v>7596.690967614343</v>
      </c>
      <c r="H92" s="60">
        <f t="shared" si="40"/>
        <v>7404.7943984926915</v>
      </c>
      <c r="I92" s="60">
        <f t="shared" si="40"/>
        <v>6603.019218086891</v>
      </c>
      <c r="J92" s="60">
        <f t="shared" si="40"/>
        <v>5887.4385019641395</v>
      </c>
      <c r="K92" s="60">
        <f t="shared" si="40"/>
        <v>5248.882187058329</v>
      </c>
      <c r="L92" s="60">
        <f t="shared" si="40"/>
        <v>4679.140752249173</v>
      </c>
      <c r="M92" s="60">
        <f t="shared" si="40"/>
        <v>4170.86698023521</v>
      </c>
      <c r="N92" s="60">
        <f t="shared" si="40"/>
        <v>3717.4873853255813</v>
      </c>
      <c r="O92" s="60">
        <f t="shared" si="40"/>
        <v>3313.122418741463</v>
      </c>
      <c r="P92" s="60">
        <f t="shared" si="40"/>
        <v>23226.44845391942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s="10" customFormat="1" ht="14.25">
      <c r="A93" s="59"/>
      <c r="B93" s="12">
        <f t="shared" si="37"/>
        <v>84780.51169115094</v>
      </c>
      <c r="C93" s="60">
        <f aca="true" t="shared" si="41" ref="C93:P93">C78*C$64</f>
        <v>0</v>
      </c>
      <c r="D93" s="60">
        <f t="shared" si="41"/>
        <v>0</v>
      </c>
      <c r="E93" s="60">
        <f t="shared" si="41"/>
        <v>0</v>
      </c>
      <c r="F93" s="60">
        <f t="shared" si="41"/>
        <v>0</v>
      </c>
      <c r="G93" s="60">
        <f t="shared" si="41"/>
        <v>8964.095341784925</v>
      </c>
      <c r="H93" s="60">
        <f t="shared" si="41"/>
        <v>8737.657390221375</v>
      </c>
      <c r="I93" s="60">
        <f t="shared" si="41"/>
        <v>7791.562677342532</v>
      </c>
      <c r="J93" s="60">
        <f t="shared" si="41"/>
        <v>6947.177432317683</v>
      </c>
      <c r="K93" s="60">
        <f t="shared" si="41"/>
        <v>6193.680980728828</v>
      </c>
      <c r="L93" s="60">
        <f t="shared" si="41"/>
        <v>5521.386087654024</v>
      </c>
      <c r="M93" s="60">
        <f t="shared" si="41"/>
        <v>4921.623036677547</v>
      </c>
      <c r="N93" s="60">
        <f t="shared" si="41"/>
        <v>4386.635114684186</v>
      </c>
      <c r="O93" s="60">
        <f t="shared" si="41"/>
        <v>3909.4844541149264</v>
      </c>
      <c r="P93" s="60">
        <f t="shared" si="41"/>
        <v>27407.20917562491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s="10" customFormat="1" ht="14.25">
      <c r="A94" s="59"/>
      <c r="B94" s="12">
        <f t="shared" si="37"/>
        <v>89463.37129225189</v>
      </c>
      <c r="C94" s="60">
        <f aca="true" t="shared" si="42" ref="C94:P94">C79*C$64</f>
        <v>0</v>
      </c>
      <c r="D94" s="60">
        <f t="shared" si="42"/>
        <v>0</v>
      </c>
      <c r="E94" s="60">
        <f t="shared" si="42"/>
        <v>0</v>
      </c>
      <c r="F94" s="60">
        <f t="shared" si="42"/>
        <v>0</v>
      </c>
      <c r="G94" s="60">
        <f t="shared" si="42"/>
        <v>0</v>
      </c>
      <c r="H94" s="60">
        <f t="shared" si="42"/>
        <v>10310.435720461222</v>
      </c>
      <c r="I94" s="60">
        <f t="shared" si="42"/>
        <v>9194.043959264187</v>
      </c>
      <c r="J94" s="60">
        <f t="shared" si="42"/>
        <v>8197.669370134867</v>
      </c>
      <c r="K94" s="60">
        <f t="shared" si="42"/>
        <v>7308.543557260015</v>
      </c>
      <c r="L94" s="60">
        <f t="shared" si="42"/>
        <v>6515.235583431748</v>
      </c>
      <c r="M94" s="60">
        <f t="shared" si="42"/>
        <v>5807.515183279505</v>
      </c>
      <c r="N94" s="60">
        <f t="shared" si="42"/>
        <v>5176.229435327339</v>
      </c>
      <c r="O94" s="60">
        <f t="shared" si="42"/>
        <v>4613.191655855613</v>
      </c>
      <c r="P94" s="60">
        <f t="shared" si="42"/>
        <v>32340.50682723739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s="10" customFormat="1" ht="14.25">
      <c r="A95" s="59"/>
      <c r="B95" s="12">
        <f t="shared" si="37"/>
        <v>93400.463974713</v>
      </c>
      <c r="C95" s="60">
        <f aca="true" t="shared" si="43" ref="C95:P95">C80*C$64</f>
        <v>0</v>
      </c>
      <c r="D95" s="60">
        <f t="shared" si="43"/>
        <v>0</v>
      </c>
      <c r="E95" s="60">
        <f t="shared" si="43"/>
        <v>0</v>
      </c>
      <c r="F95" s="60">
        <f t="shared" si="43"/>
        <v>0</v>
      </c>
      <c r="G95" s="60">
        <f t="shared" si="43"/>
        <v>0</v>
      </c>
      <c r="H95" s="60">
        <f t="shared" si="43"/>
        <v>0</v>
      </c>
      <c r="I95" s="60">
        <f t="shared" si="43"/>
        <v>10848.97187193174</v>
      </c>
      <c r="J95" s="60">
        <f t="shared" si="43"/>
        <v>9673.249856759143</v>
      </c>
      <c r="K95" s="60">
        <f t="shared" si="43"/>
        <v>8624.081397566819</v>
      </c>
      <c r="L95" s="60">
        <f t="shared" si="43"/>
        <v>7687.977988449461</v>
      </c>
      <c r="M95" s="60">
        <f t="shared" si="43"/>
        <v>6852.867916269816</v>
      </c>
      <c r="N95" s="60">
        <f t="shared" si="43"/>
        <v>6107.95073368626</v>
      </c>
      <c r="O95" s="60">
        <f t="shared" si="43"/>
        <v>5443.566153909623</v>
      </c>
      <c r="P95" s="60">
        <f t="shared" si="43"/>
        <v>38161.79805614012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s="10" customFormat="1" ht="14.25">
      <c r="A96" s="59"/>
      <c r="B96" s="12">
        <f t="shared" si="37"/>
        <v>97410.76068128186</v>
      </c>
      <c r="C96" s="60">
        <f aca="true" t="shared" si="44" ref="C96:P96">C81*C$64</f>
        <v>0</v>
      </c>
      <c r="D96" s="60">
        <f t="shared" si="44"/>
        <v>0</v>
      </c>
      <c r="E96" s="60">
        <f t="shared" si="44"/>
        <v>0</v>
      </c>
      <c r="F96" s="60">
        <f t="shared" si="44"/>
        <v>0</v>
      </c>
      <c r="G96" s="60">
        <f t="shared" si="44"/>
        <v>0</v>
      </c>
      <c r="H96" s="60">
        <f t="shared" si="44"/>
        <v>0</v>
      </c>
      <c r="I96" s="60">
        <f t="shared" si="44"/>
        <v>0</v>
      </c>
      <c r="J96" s="60">
        <f t="shared" si="44"/>
        <v>11414.434830975788</v>
      </c>
      <c r="K96" s="60">
        <f t="shared" si="44"/>
        <v>10176.416049128846</v>
      </c>
      <c r="L96" s="60">
        <f t="shared" si="44"/>
        <v>9071.814026370364</v>
      </c>
      <c r="M96" s="60">
        <f t="shared" si="44"/>
        <v>8086.384141198381</v>
      </c>
      <c r="N96" s="60">
        <f t="shared" si="44"/>
        <v>7207.381865749786</v>
      </c>
      <c r="O96" s="60">
        <f t="shared" si="44"/>
        <v>6423.408061613354</v>
      </c>
      <c r="P96" s="60">
        <f t="shared" si="44"/>
        <v>45030.92170624534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s="10" customFormat="1" ht="14.25">
      <c r="A97" s="59"/>
      <c r="B97" s="12">
        <f t="shared" si="37"/>
        <v>101475.66450336116</v>
      </c>
      <c r="C97" s="60">
        <f aca="true" t="shared" si="45" ref="C97:P97">C82*C$64</f>
        <v>0</v>
      </c>
      <c r="D97" s="60">
        <f t="shared" si="45"/>
        <v>0</v>
      </c>
      <c r="E97" s="60">
        <f t="shared" si="45"/>
        <v>0</v>
      </c>
      <c r="F97" s="60">
        <f t="shared" si="45"/>
        <v>0</v>
      </c>
      <c r="G97" s="60">
        <f t="shared" si="45"/>
        <v>0</v>
      </c>
      <c r="H97" s="60">
        <f t="shared" si="45"/>
        <v>0</v>
      </c>
      <c r="I97" s="60">
        <f t="shared" si="45"/>
        <v>0</v>
      </c>
      <c r="J97" s="60">
        <f t="shared" si="45"/>
        <v>0</v>
      </c>
      <c r="K97" s="60">
        <f t="shared" si="45"/>
        <v>12008.170937972038</v>
      </c>
      <c r="L97" s="60">
        <f t="shared" si="45"/>
        <v>10704.74055111703</v>
      </c>
      <c r="M97" s="60">
        <f t="shared" si="45"/>
        <v>9541.93328661409</v>
      </c>
      <c r="N97" s="60">
        <f t="shared" si="45"/>
        <v>8504.710601584746</v>
      </c>
      <c r="O97" s="60">
        <f t="shared" si="45"/>
        <v>7579.6215127037585</v>
      </c>
      <c r="P97" s="60">
        <f t="shared" si="45"/>
        <v>53136.48761336949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10" customFormat="1" ht="14.25">
      <c r="A98" s="59"/>
      <c r="B98" s="12">
        <f t="shared" si="37"/>
        <v>105571.64240715916</v>
      </c>
      <c r="C98" s="60">
        <f aca="true" t="shared" si="46" ref="C98:P98">C83*C$64</f>
        <v>0</v>
      </c>
      <c r="D98" s="60">
        <f t="shared" si="46"/>
        <v>0</v>
      </c>
      <c r="E98" s="60">
        <f t="shared" si="46"/>
        <v>0</v>
      </c>
      <c r="F98" s="60">
        <f t="shared" si="46"/>
        <v>0</v>
      </c>
      <c r="G98" s="60">
        <f t="shared" si="46"/>
        <v>0</v>
      </c>
      <c r="H98" s="60">
        <f t="shared" si="46"/>
        <v>0</v>
      </c>
      <c r="I98" s="60">
        <f t="shared" si="46"/>
        <v>0</v>
      </c>
      <c r="J98" s="60">
        <f t="shared" si="46"/>
        <v>0</v>
      </c>
      <c r="K98" s="60">
        <f t="shared" si="46"/>
        <v>0</v>
      </c>
      <c r="L98" s="60">
        <f t="shared" si="46"/>
        <v>12631.593850318095</v>
      </c>
      <c r="M98" s="60">
        <f t="shared" si="46"/>
        <v>11259.481278204627</v>
      </c>
      <c r="N98" s="60">
        <f t="shared" si="46"/>
        <v>10035.558509870001</v>
      </c>
      <c r="O98" s="60">
        <f t="shared" si="46"/>
        <v>8943.953384990433</v>
      </c>
      <c r="P98" s="60">
        <f t="shared" si="46"/>
        <v>62701.055383776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10" customFormat="1" ht="14.25">
      <c r="A99" s="59"/>
      <c r="B99" s="12">
        <f t="shared" si="37"/>
        <v>109669.25729707244</v>
      </c>
      <c r="C99" s="60">
        <f aca="true" t="shared" si="47" ref="C99:P99">C84*C$64</f>
        <v>0</v>
      </c>
      <c r="D99" s="60">
        <f t="shared" si="47"/>
        <v>0</v>
      </c>
      <c r="E99" s="60">
        <f t="shared" si="47"/>
        <v>0</v>
      </c>
      <c r="F99" s="60">
        <f t="shared" si="47"/>
        <v>0</v>
      </c>
      <c r="G99" s="60">
        <f t="shared" si="47"/>
        <v>0</v>
      </c>
      <c r="H99" s="60">
        <f t="shared" si="47"/>
        <v>0</v>
      </c>
      <c r="I99" s="60">
        <f t="shared" si="47"/>
        <v>0</v>
      </c>
      <c r="J99" s="60">
        <f t="shared" si="47"/>
        <v>0</v>
      </c>
      <c r="K99" s="60">
        <f t="shared" si="47"/>
        <v>0</v>
      </c>
      <c r="L99" s="60">
        <f t="shared" si="47"/>
        <v>0</v>
      </c>
      <c r="M99" s="60">
        <f t="shared" si="47"/>
        <v>13286.18790828146</v>
      </c>
      <c r="N99" s="60">
        <f t="shared" si="47"/>
        <v>11841.9590416466</v>
      </c>
      <c r="O99" s="60">
        <f t="shared" si="47"/>
        <v>10553.864994288711</v>
      </c>
      <c r="P99" s="60">
        <f t="shared" si="47"/>
        <v>73987.24535285567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s="10" customFormat="1" ht="14.25">
      <c r="A100" s="59"/>
      <c r="B100" s="12">
        <f t="shared" si="37"/>
        <v>113732.02187877338</v>
      </c>
      <c r="C100" s="60">
        <f aca="true" t="shared" si="48" ref="C100:P100">C85*C$64</f>
        <v>0</v>
      </c>
      <c r="D100" s="60">
        <f t="shared" si="48"/>
        <v>0</v>
      </c>
      <c r="E100" s="60">
        <f t="shared" si="48"/>
        <v>0</v>
      </c>
      <c r="F100" s="60">
        <f t="shared" si="48"/>
        <v>0</v>
      </c>
      <c r="G100" s="60">
        <f t="shared" si="48"/>
        <v>0</v>
      </c>
      <c r="H100" s="60">
        <f t="shared" si="48"/>
        <v>0</v>
      </c>
      <c r="I100" s="60">
        <f t="shared" si="48"/>
        <v>0</v>
      </c>
      <c r="J100" s="60">
        <f t="shared" si="48"/>
        <v>0</v>
      </c>
      <c r="K100" s="60">
        <f t="shared" si="48"/>
        <v>0</v>
      </c>
      <c r="L100" s="60">
        <f t="shared" si="48"/>
        <v>0</v>
      </c>
      <c r="M100" s="60">
        <f t="shared" si="48"/>
        <v>0</v>
      </c>
      <c r="N100" s="60">
        <f t="shared" si="48"/>
        <v>13973.511669142988</v>
      </c>
      <c r="O100" s="60">
        <f t="shared" si="48"/>
        <v>12453.560693260679</v>
      </c>
      <c r="P100" s="60">
        <f t="shared" si="48"/>
        <v>87304.9495163697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s="10" customFormat="1" ht="14.25">
      <c r="A101" s="59"/>
      <c r="B101" s="12">
        <f t="shared" si="37"/>
        <v>117715.04204736384</v>
      </c>
      <c r="C101" s="60">
        <f aca="true" t="shared" si="49" ref="C101:P101">C86*C$64</f>
        <v>0</v>
      </c>
      <c r="D101" s="60">
        <f t="shared" si="49"/>
        <v>0</v>
      </c>
      <c r="E101" s="60">
        <f t="shared" si="49"/>
        <v>0</v>
      </c>
      <c r="F101" s="60">
        <f t="shared" si="49"/>
        <v>0</v>
      </c>
      <c r="G101" s="60">
        <f t="shared" si="49"/>
        <v>0</v>
      </c>
      <c r="H101" s="60">
        <f t="shared" si="49"/>
        <v>0</v>
      </c>
      <c r="I101" s="60">
        <f t="shared" si="49"/>
        <v>0</v>
      </c>
      <c r="J101" s="60">
        <f t="shared" si="49"/>
        <v>0</v>
      </c>
      <c r="K101" s="60">
        <f t="shared" si="49"/>
        <v>0</v>
      </c>
      <c r="L101" s="60">
        <f t="shared" si="49"/>
        <v>0</v>
      </c>
      <c r="M101" s="60">
        <f t="shared" si="49"/>
        <v>0</v>
      </c>
      <c r="N101" s="60">
        <f t="shared" si="49"/>
        <v>0</v>
      </c>
      <c r="O101" s="60">
        <f t="shared" si="49"/>
        <v>14695.2016180476</v>
      </c>
      <c r="P101" s="60">
        <f t="shared" si="49"/>
        <v>103019.84042931623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s="10" customFormat="1" ht="14.25">
      <c r="A102" s="59"/>
      <c r="B102" s="12">
        <f t="shared" si="37"/>
        <v>121563.41170659315</v>
      </c>
      <c r="C102" s="60">
        <f aca="true" t="shared" si="50" ref="C102:P102">C87*C$64</f>
        <v>0</v>
      </c>
      <c r="D102" s="60">
        <f t="shared" si="50"/>
        <v>0</v>
      </c>
      <c r="E102" s="60">
        <f t="shared" si="50"/>
        <v>0</v>
      </c>
      <c r="F102" s="60">
        <f t="shared" si="50"/>
        <v>0</v>
      </c>
      <c r="G102" s="60">
        <f t="shared" si="50"/>
        <v>0</v>
      </c>
      <c r="H102" s="60">
        <f t="shared" si="50"/>
        <v>0</v>
      </c>
      <c r="I102" s="60">
        <f t="shared" si="50"/>
        <v>0</v>
      </c>
      <c r="J102" s="60">
        <f t="shared" si="50"/>
        <v>0</v>
      </c>
      <c r="K102" s="60">
        <f t="shared" si="50"/>
        <v>0</v>
      </c>
      <c r="L102" s="60">
        <f t="shared" si="50"/>
        <v>0</v>
      </c>
      <c r="M102" s="60">
        <f t="shared" si="50"/>
        <v>0</v>
      </c>
      <c r="N102" s="60">
        <f t="shared" si="50"/>
        <v>0</v>
      </c>
      <c r="O102" s="60">
        <f t="shared" si="50"/>
        <v>0</v>
      </c>
      <c r="P102" s="60">
        <f t="shared" si="50"/>
        <v>121563.41170659315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10" customFormat="1" ht="14.25">
      <c r="A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="25" customFormat="1" ht="14.25"/>
    <row r="105" spans="1:8" s="10" customFormat="1" ht="14.25">
      <c r="A105" s="13" t="s">
        <v>72</v>
      </c>
      <c r="B105"/>
      <c r="C105"/>
      <c r="D105"/>
      <c r="E105"/>
      <c r="F105"/>
      <c r="G105"/>
      <c r="H105"/>
    </row>
    <row r="106" spans="1:8" s="10" customFormat="1" ht="14.25">
      <c r="A106" s="4" t="s">
        <v>69</v>
      </c>
      <c r="B106" s="11">
        <v>1000000</v>
      </c>
      <c r="C106"/>
      <c r="D106"/>
      <c r="E106"/>
      <c r="F106"/>
      <c r="G106"/>
      <c r="H106"/>
    </row>
    <row r="107" spans="1:8" s="10" customFormat="1" ht="14.25">
      <c r="A107" s="4"/>
      <c r="B107"/>
      <c r="C107"/>
      <c r="D107"/>
      <c r="E107"/>
      <c r="F107"/>
      <c r="G107"/>
      <c r="H107"/>
    </row>
    <row r="108" spans="1:16" s="10" customFormat="1" ht="14.25">
      <c r="A108" s="4" t="s">
        <v>70</v>
      </c>
      <c r="B108" s="1">
        <f>B106</f>
        <v>1000000</v>
      </c>
      <c r="C108" s="1">
        <f aca="true" t="shared" si="51" ref="C108:K109">B108</f>
        <v>1000000</v>
      </c>
      <c r="D108" s="1">
        <f t="shared" si="51"/>
        <v>1000000</v>
      </c>
      <c r="E108" s="1">
        <f t="shared" si="51"/>
        <v>1000000</v>
      </c>
      <c r="F108" s="1">
        <f t="shared" si="51"/>
        <v>1000000</v>
      </c>
      <c r="G108" s="1">
        <f t="shared" si="51"/>
        <v>1000000</v>
      </c>
      <c r="H108" s="1">
        <f t="shared" si="51"/>
        <v>1000000</v>
      </c>
      <c r="I108" s="1">
        <f t="shared" si="51"/>
        <v>1000000</v>
      </c>
      <c r="J108" s="1">
        <f t="shared" si="51"/>
        <v>1000000</v>
      </c>
      <c r="K108" s="1">
        <f t="shared" si="51"/>
        <v>1000000</v>
      </c>
      <c r="L108" s="1">
        <f aca="true" t="shared" si="52" ref="L108:P109">K108</f>
        <v>1000000</v>
      </c>
      <c r="M108" s="1">
        <f t="shared" si="52"/>
        <v>1000000</v>
      </c>
      <c r="N108" s="1">
        <f t="shared" si="52"/>
        <v>1000000</v>
      </c>
      <c r="O108" s="1">
        <f t="shared" si="52"/>
        <v>1000000</v>
      </c>
      <c r="P108" s="1">
        <f t="shared" si="52"/>
        <v>1000000</v>
      </c>
    </row>
    <row r="109" spans="1:16" s="10" customFormat="1" ht="14.25">
      <c r="A109" s="4" t="s">
        <v>71</v>
      </c>
      <c r="B109" s="1"/>
      <c r="C109" s="1">
        <f>B106*B115</f>
        <v>200000</v>
      </c>
      <c r="D109" s="1">
        <f t="shared" si="51"/>
        <v>200000</v>
      </c>
      <c r="E109" s="1">
        <f t="shared" si="51"/>
        <v>200000</v>
      </c>
      <c r="F109" s="1">
        <f t="shared" si="51"/>
        <v>200000</v>
      </c>
      <c r="G109" s="1">
        <f t="shared" si="51"/>
        <v>200000</v>
      </c>
      <c r="H109" s="1">
        <f t="shared" si="51"/>
        <v>200000</v>
      </c>
      <c r="I109" s="1">
        <f t="shared" si="51"/>
        <v>200000</v>
      </c>
      <c r="J109" s="1">
        <f t="shared" si="51"/>
        <v>200000</v>
      </c>
      <c r="K109" s="1">
        <f t="shared" si="51"/>
        <v>200000</v>
      </c>
      <c r="L109" s="1">
        <f t="shared" si="52"/>
        <v>200000</v>
      </c>
      <c r="M109" s="1">
        <f t="shared" si="52"/>
        <v>200000</v>
      </c>
      <c r="N109" s="1">
        <f t="shared" si="52"/>
        <v>200000</v>
      </c>
      <c r="O109" s="1">
        <f t="shared" si="52"/>
        <v>200000</v>
      </c>
      <c r="P109" s="1">
        <f t="shared" si="52"/>
        <v>200000</v>
      </c>
    </row>
    <row r="110" spans="1:16" s="10" customFormat="1" ht="14.25">
      <c r="A110" s="4" t="s">
        <v>73</v>
      </c>
      <c r="B110" s="1"/>
      <c r="C110" s="1">
        <f>C139</f>
        <v>0</v>
      </c>
      <c r="D110" s="1">
        <f aca="true" t="shared" si="53" ref="D110:J110">D139</f>
        <v>12819.011287492784</v>
      </c>
      <c r="E110" s="1">
        <f t="shared" si="53"/>
        <v>20922.25284109098</v>
      </c>
      <c r="F110" s="1">
        <f t="shared" si="53"/>
        <v>31092.71365905067</v>
      </c>
      <c r="G110" s="1">
        <f t="shared" si="53"/>
        <v>39467.44780075001</v>
      </c>
      <c r="H110" s="1">
        <f t="shared" si="53"/>
        <v>47791.98215254361</v>
      </c>
      <c r="I110" s="1">
        <f t="shared" si="53"/>
        <v>55156.60443621966</v>
      </c>
      <c r="J110" s="1">
        <f t="shared" si="53"/>
        <v>62289.228585128185</v>
      </c>
      <c r="K110" s="1">
        <f aca="true" t="shared" si="54" ref="K110:P110">K139</f>
        <v>69278.2026552422</v>
      </c>
      <c r="L110" s="1">
        <f t="shared" si="54"/>
        <v>76163.11143095957</v>
      </c>
      <c r="M110" s="1">
        <f t="shared" si="54"/>
        <v>82969.9399611712</v>
      </c>
      <c r="N110" s="1">
        <f t="shared" si="54"/>
        <v>89715.59179037422</v>
      </c>
      <c r="O110" s="1">
        <f t="shared" si="54"/>
        <v>96368.37925270502</v>
      </c>
      <c r="P110" s="1">
        <f t="shared" si="54"/>
        <v>102905.73507479794</v>
      </c>
    </row>
    <row r="111" spans="1:16" s="10" customFormat="1" ht="14.25">
      <c r="A111" s="4" t="s">
        <v>74</v>
      </c>
      <c r="B111" s="1"/>
      <c r="C111" s="1">
        <f>C156</f>
        <v>0</v>
      </c>
      <c r="D111" s="1">
        <f aca="true" t="shared" si="55" ref="D111:K111">D156</f>
        <v>5127.604514997113</v>
      </c>
      <c r="E111" s="1">
        <f t="shared" si="55"/>
        <v>8540.649159839939</v>
      </c>
      <c r="F111" s="1">
        <f t="shared" si="55"/>
        <v>12987.705097269605</v>
      </c>
      <c r="G111" s="1">
        <f t="shared" si="55"/>
        <v>16757.02315703485</v>
      </c>
      <c r="H111" s="1">
        <f t="shared" si="55"/>
        <v>20585.979953127142</v>
      </c>
      <c r="I111" s="1">
        <f t="shared" si="55"/>
        <v>24029.89610785765</v>
      </c>
      <c r="J111" s="1">
        <f t="shared" si="55"/>
        <v>27407.422029923106</v>
      </c>
      <c r="K111" s="1">
        <f t="shared" si="55"/>
        <v>30748.978679272834</v>
      </c>
      <c r="L111" s="1">
        <f>L156</f>
        <v>34065.590212464806</v>
      </c>
      <c r="M111" s="1">
        <f>M156</f>
        <v>37364.07840365107</v>
      </c>
      <c r="N111" s="1">
        <f>N156</f>
        <v>40648.43417010286</v>
      </c>
      <c r="O111" s="1">
        <f>O156</f>
        <v>43899.989846334225</v>
      </c>
      <c r="P111" s="1">
        <f>P156</f>
        <v>47105.11570341174</v>
      </c>
    </row>
    <row r="112" spans="1:16" s="10" customFormat="1" ht="14.25">
      <c r="A112" s="5" t="s">
        <v>78</v>
      </c>
      <c r="B112" s="8">
        <f>SUM(B108:B111)</f>
        <v>1000000</v>
      </c>
      <c r="C112" s="8">
        <f aca="true" t="shared" si="56" ref="C112:K112">SUM(C108:C111)</f>
        <v>1200000</v>
      </c>
      <c r="D112" s="8">
        <f t="shared" si="56"/>
        <v>1217946.61580249</v>
      </c>
      <c r="E112" s="8">
        <f t="shared" si="56"/>
        <v>1229462.9020009309</v>
      </c>
      <c r="F112" s="8">
        <f t="shared" si="56"/>
        <v>1244080.4187563201</v>
      </c>
      <c r="G112" s="8">
        <f t="shared" si="56"/>
        <v>1256224.4709577847</v>
      </c>
      <c r="H112" s="8">
        <f t="shared" si="56"/>
        <v>1268377.9621056707</v>
      </c>
      <c r="I112" s="8">
        <f t="shared" si="56"/>
        <v>1279186.5005440773</v>
      </c>
      <c r="J112" s="8">
        <f t="shared" si="56"/>
        <v>1289696.6506150514</v>
      </c>
      <c r="K112" s="8">
        <f t="shared" si="56"/>
        <v>1300027.181334515</v>
      </c>
      <c r="L112" s="8">
        <f>SUM(L108:L111)</f>
        <v>1310228.7016434243</v>
      </c>
      <c r="M112" s="8">
        <f>SUM(M108:M111)</f>
        <v>1320334.0183648223</v>
      </c>
      <c r="N112" s="8">
        <f>SUM(N108:N111)</f>
        <v>1330364.025960477</v>
      </c>
      <c r="O112" s="8">
        <f>SUM(O108:O111)</f>
        <v>1340268.3690990394</v>
      </c>
      <c r="P112" s="8">
        <f>SUM(P108:P111)</f>
        <v>1350010.8507782095</v>
      </c>
    </row>
    <row r="113" spans="1:16" s="10" customFormat="1" ht="14.25">
      <c r="A113" s="4" t="s">
        <v>79</v>
      </c>
      <c r="B113" s="37"/>
      <c r="C113" s="37">
        <f aca="true" t="shared" si="57" ref="C113:K113">C71/C112*1000</f>
        <v>21.953046137492542</v>
      </c>
      <c r="D113" s="37">
        <f t="shared" si="57"/>
        <v>29.521869774952776</v>
      </c>
      <c r="E113" s="37">
        <f t="shared" si="57"/>
        <v>35.643585055199516</v>
      </c>
      <c r="F113" s="37">
        <f t="shared" si="57"/>
        <v>44.96090629006503</v>
      </c>
      <c r="G113" s="37">
        <f t="shared" si="57"/>
        <v>54.250615832611906</v>
      </c>
      <c r="H113" s="37">
        <f t="shared" si="57"/>
        <v>64.95026812940299</v>
      </c>
      <c r="I113" s="37">
        <f t="shared" si="57"/>
        <v>75.6170382520224</v>
      </c>
      <c r="J113" s="37">
        <f t="shared" si="57"/>
        <v>86.92156964212262</v>
      </c>
      <c r="K113" s="37">
        <f t="shared" si="57"/>
        <v>98.89852290805793</v>
      </c>
      <c r="L113" s="37">
        <f>L71/L112*1000</f>
        <v>111.54612061240846</v>
      </c>
      <c r="M113" s="37">
        <f>M71/M112*1000</f>
        <v>124.85971901476012</v>
      </c>
      <c r="N113" s="37">
        <f>N71/N112*1000</f>
        <v>138.83116232787876</v>
      </c>
      <c r="O113" s="37">
        <f>O71/O112*1000</f>
        <v>153.34618183026953</v>
      </c>
      <c r="P113" s="37">
        <f>P71/P112*1000</f>
        <v>168.28752675299012</v>
      </c>
    </row>
    <row r="114" spans="2:16" s="10" customFormat="1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2" s="10" customFormat="1" ht="14.25">
      <c r="A115" s="4" t="s">
        <v>75</v>
      </c>
      <c r="B115" s="35">
        <v>0.2</v>
      </c>
    </row>
    <row r="116" spans="1:16" s="10" customFormat="1" ht="14.25">
      <c r="A116" s="38" t="s">
        <v>76</v>
      </c>
      <c r="C116" s="39">
        <v>0.05</v>
      </c>
      <c r="D116" s="39">
        <v>0.01</v>
      </c>
      <c r="E116" s="39">
        <v>0.01</v>
      </c>
      <c r="F116" s="39">
        <v>0.01</v>
      </c>
      <c r="G116" s="39">
        <v>0.01</v>
      </c>
      <c r="H116" s="39">
        <v>0.01</v>
      </c>
      <c r="I116" s="39">
        <v>0.01</v>
      </c>
      <c r="J116" s="39">
        <v>0.01</v>
      </c>
      <c r="K116" s="39">
        <v>0.01</v>
      </c>
      <c r="L116" s="39">
        <v>0.01</v>
      </c>
      <c r="M116" s="39">
        <v>0.01</v>
      </c>
      <c r="N116" s="39">
        <v>0.01</v>
      </c>
      <c r="O116" s="39">
        <v>0.01</v>
      </c>
      <c r="P116" s="39">
        <v>0.01</v>
      </c>
    </row>
    <row r="117" spans="1:16" s="10" customFormat="1" ht="14.25">
      <c r="A117" s="38" t="s">
        <v>77</v>
      </c>
      <c r="C117" s="39">
        <v>0.02</v>
      </c>
      <c r="D117" s="39">
        <v>0.005</v>
      </c>
      <c r="E117" s="39">
        <v>0.005</v>
      </c>
      <c r="F117" s="39">
        <v>0.005</v>
      </c>
      <c r="G117" s="39">
        <v>0.005</v>
      </c>
      <c r="H117" s="39">
        <v>0.005</v>
      </c>
      <c r="I117" s="39">
        <v>0.005</v>
      </c>
      <c r="J117" s="39">
        <v>0.005</v>
      </c>
      <c r="K117" s="39">
        <v>0.005</v>
      </c>
      <c r="L117" s="39">
        <v>0.005</v>
      </c>
      <c r="M117" s="39">
        <v>0.005</v>
      </c>
      <c r="N117" s="39">
        <v>0.005</v>
      </c>
      <c r="O117" s="39">
        <v>0.005</v>
      </c>
      <c r="P117" s="39">
        <v>0.005</v>
      </c>
    </row>
    <row r="118" s="10" customFormat="1" ht="14.25"/>
    <row r="119" spans="1:16" s="10" customFormat="1" ht="14.25">
      <c r="A119" s="38" t="s">
        <v>76</v>
      </c>
      <c r="C119" s="12">
        <f>C116*C108</f>
        <v>50000</v>
      </c>
      <c r="D119" s="12">
        <f aca="true" t="shared" si="58" ref="D119:K119">D116*D108</f>
        <v>10000</v>
      </c>
      <c r="E119" s="12">
        <f t="shared" si="58"/>
        <v>10000</v>
      </c>
      <c r="F119" s="12">
        <f t="shared" si="58"/>
        <v>10000</v>
      </c>
      <c r="G119" s="12">
        <f t="shared" si="58"/>
        <v>10000</v>
      </c>
      <c r="H119" s="12">
        <f t="shared" si="58"/>
        <v>10000</v>
      </c>
      <c r="I119" s="12">
        <f t="shared" si="58"/>
        <v>10000</v>
      </c>
      <c r="J119" s="12">
        <f t="shared" si="58"/>
        <v>10000</v>
      </c>
      <c r="K119" s="12">
        <f t="shared" si="58"/>
        <v>10000</v>
      </c>
      <c r="L119" s="12">
        <f>L116*L108</f>
        <v>10000</v>
      </c>
      <c r="M119" s="12">
        <f>M116*M108</f>
        <v>10000</v>
      </c>
      <c r="N119" s="12">
        <f>N116*N108</f>
        <v>10000</v>
      </c>
      <c r="O119" s="12">
        <f>O116*O108</f>
        <v>10000</v>
      </c>
      <c r="P119" s="12">
        <f>P116*P108</f>
        <v>10000</v>
      </c>
    </row>
    <row r="120" spans="1:16" s="10" customFormat="1" ht="14.25">
      <c r="A120" s="38" t="s">
        <v>77</v>
      </c>
      <c r="C120" s="12">
        <f>C117*C108</f>
        <v>20000</v>
      </c>
      <c r="D120" s="12">
        <f aca="true" t="shared" si="59" ref="D120:K120">D117*D108</f>
        <v>5000</v>
      </c>
      <c r="E120" s="12">
        <f t="shared" si="59"/>
        <v>5000</v>
      </c>
      <c r="F120" s="12">
        <f t="shared" si="59"/>
        <v>5000</v>
      </c>
      <c r="G120" s="12">
        <f t="shared" si="59"/>
        <v>5000</v>
      </c>
      <c r="H120" s="12">
        <f t="shared" si="59"/>
        <v>5000</v>
      </c>
      <c r="I120" s="12">
        <f t="shared" si="59"/>
        <v>5000</v>
      </c>
      <c r="J120" s="12">
        <f t="shared" si="59"/>
        <v>5000</v>
      </c>
      <c r="K120" s="12">
        <f t="shared" si="59"/>
        <v>5000</v>
      </c>
      <c r="L120" s="12">
        <f>L117*L108</f>
        <v>5000</v>
      </c>
      <c r="M120" s="12">
        <f>M117*M108</f>
        <v>5000</v>
      </c>
      <c r="N120" s="12">
        <f>N117*N108</f>
        <v>5000</v>
      </c>
      <c r="O120" s="12">
        <f>O117*O108</f>
        <v>5000</v>
      </c>
      <c r="P120" s="12">
        <f>P117*P108</f>
        <v>5000</v>
      </c>
    </row>
    <row r="121" s="10" customFormat="1" ht="14.25"/>
    <row r="122" spans="1:16" s="10" customFormat="1" ht="14.25">
      <c r="A122" s="38" t="s">
        <v>80</v>
      </c>
      <c r="C122" s="40">
        <f>C113</f>
        <v>21.953046137492542</v>
      </c>
      <c r="D122" s="40">
        <f aca="true" t="shared" si="60" ref="D122:K122">D113</f>
        <v>29.521869774952776</v>
      </c>
      <c r="E122" s="40">
        <f t="shared" si="60"/>
        <v>35.643585055199516</v>
      </c>
      <c r="F122" s="40">
        <f t="shared" si="60"/>
        <v>44.96090629006503</v>
      </c>
      <c r="G122" s="40">
        <f t="shared" si="60"/>
        <v>54.250615832611906</v>
      </c>
      <c r="H122" s="40">
        <f t="shared" si="60"/>
        <v>64.95026812940299</v>
      </c>
      <c r="I122" s="40">
        <f t="shared" si="60"/>
        <v>75.6170382520224</v>
      </c>
      <c r="J122" s="40">
        <f t="shared" si="60"/>
        <v>86.92156964212262</v>
      </c>
      <c r="K122" s="40">
        <f t="shared" si="60"/>
        <v>98.89852290805793</v>
      </c>
      <c r="L122" s="40">
        <f>L113</f>
        <v>111.54612061240846</v>
      </c>
      <c r="M122" s="40">
        <f>M113</f>
        <v>124.85971901476012</v>
      </c>
      <c r="N122" s="40">
        <f>N113</f>
        <v>138.83116232787876</v>
      </c>
      <c r="O122" s="40">
        <f>O113</f>
        <v>153.34618183026953</v>
      </c>
      <c r="P122" s="40">
        <f>P113</f>
        <v>168.28752675299012</v>
      </c>
    </row>
    <row r="123" spans="1:16" s="10" customFormat="1" ht="14.25">
      <c r="A123" s="38" t="s">
        <v>81</v>
      </c>
      <c r="C123" s="40">
        <f>C113</f>
        <v>21.953046137492542</v>
      </c>
      <c r="D123" s="40">
        <f aca="true" t="shared" si="61" ref="D123:K123">D113</f>
        <v>29.521869774952776</v>
      </c>
      <c r="E123" s="40">
        <f t="shared" si="61"/>
        <v>35.643585055199516</v>
      </c>
      <c r="F123" s="40">
        <f t="shared" si="61"/>
        <v>44.96090629006503</v>
      </c>
      <c r="G123" s="40">
        <f t="shared" si="61"/>
        <v>54.250615832611906</v>
      </c>
      <c r="H123" s="40">
        <f t="shared" si="61"/>
        <v>64.95026812940299</v>
      </c>
      <c r="I123" s="40">
        <f t="shared" si="61"/>
        <v>75.6170382520224</v>
      </c>
      <c r="J123" s="40">
        <f t="shared" si="61"/>
        <v>86.92156964212262</v>
      </c>
      <c r="K123" s="40">
        <f t="shared" si="61"/>
        <v>98.89852290805793</v>
      </c>
      <c r="L123" s="40">
        <f>L113</f>
        <v>111.54612061240846</v>
      </c>
      <c r="M123" s="40">
        <f>M113</f>
        <v>124.85971901476012</v>
      </c>
      <c r="N123" s="40">
        <f>N113</f>
        <v>138.83116232787876</v>
      </c>
      <c r="O123" s="40">
        <f>O113</f>
        <v>153.34618183026953</v>
      </c>
      <c r="P123" s="40">
        <f>P113</f>
        <v>168.28752675299012</v>
      </c>
    </row>
    <row r="124" s="10" customFormat="1" ht="14.25"/>
    <row r="125" spans="1:16" s="10" customFormat="1" ht="14.25">
      <c r="A125" s="38" t="s">
        <v>82</v>
      </c>
      <c r="B125" s="10">
        <v>2010</v>
      </c>
      <c r="C125" s="12">
        <f>IF(C$113-$C$122&gt;0,((C$113-$C$122)*$C$119)/C$113,0)</f>
        <v>0</v>
      </c>
      <c r="D125" s="12">
        <f aca="true" t="shared" si="62" ref="D125:P125">IF(D$113-$C$122&gt;0,((D$113-$C$122)*$C$119)/D$113,0)</f>
        <v>12819.011287492784</v>
      </c>
      <c r="E125" s="12">
        <f t="shared" si="62"/>
        <v>19204.772607055507</v>
      </c>
      <c r="F125" s="12">
        <f t="shared" si="62"/>
        <v>25586.5173225573</v>
      </c>
      <c r="G125" s="12">
        <f t="shared" si="62"/>
        <v>29767.007433401508</v>
      </c>
      <c r="H125" s="12">
        <f t="shared" si="62"/>
        <v>33100.11123144663</v>
      </c>
      <c r="I125" s="12">
        <f t="shared" si="62"/>
        <v>35484.061102521824</v>
      </c>
      <c r="J125" s="12">
        <f t="shared" si="62"/>
        <v>37371.92262640987</v>
      </c>
      <c r="K125" s="12">
        <f t="shared" si="62"/>
        <v>38901.22648348276</v>
      </c>
      <c r="L125" s="12">
        <f t="shared" si="62"/>
        <v>40159.65503014971</v>
      </c>
      <c r="M125" s="12">
        <f t="shared" si="62"/>
        <v>41208.91576934535</v>
      </c>
      <c r="N125" s="12">
        <f t="shared" si="62"/>
        <v>42093.617250842486</v>
      </c>
      <c r="O125" s="12">
        <f t="shared" si="62"/>
        <v>42841.997800182864</v>
      </c>
      <c r="P125" s="12">
        <f t="shared" si="62"/>
        <v>43477.5183398723</v>
      </c>
    </row>
    <row r="126" spans="2:16" s="10" customFormat="1" ht="14.25">
      <c r="B126" s="10">
        <v>2011</v>
      </c>
      <c r="D126" s="12">
        <f>IF(D$113-$D$122&gt;0,((D$113-$D$122)*$D$119)/D$113,0)</f>
        <v>0</v>
      </c>
      <c r="E126" s="12">
        <f aca="true" t="shared" si="63" ref="E126:P126">IF(E$113-$D$122&gt;0,((E$113-$D$122)*$D$119)/E$113,0)</f>
        <v>1717.4802340354743</v>
      </c>
      <c r="F126" s="12">
        <f t="shared" si="63"/>
        <v>3433.880183710577</v>
      </c>
      <c r="G126" s="12">
        <f t="shared" si="63"/>
        <v>4558.242460133298</v>
      </c>
      <c r="H126" s="12">
        <f t="shared" si="63"/>
        <v>5454.696242956968</v>
      </c>
      <c r="I126" s="12">
        <f t="shared" si="63"/>
        <v>6095.870658599459</v>
      </c>
      <c r="J126" s="12">
        <f t="shared" si="63"/>
        <v>6603.619803864386</v>
      </c>
      <c r="K126" s="12">
        <f t="shared" si="63"/>
        <v>7014.933195473698</v>
      </c>
      <c r="L126" s="12">
        <f t="shared" si="63"/>
        <v>7353.393411364523</v>
      </c>
      <c r="M126" s="12">
        <f t="shared" si="63"/>
        <v>7635.59697171328</v>
      </c>
      <c r="N126" s="12">
        <f t="shared" si="63"/>
        <v>7873.541553644078</v>
      </c>
      <c r="O126" s="12">
        <f t="shared" si="63"/>
        <v>8074.821986267065</v>
      </c>
      <c r="P126" s="12">
        <f t="shared" si="63"/>
        <v>8245.748193905983</v>
      </c>
    </row>
    <row r="127" spans="2:16" s="10" customFormat="1" ht="14.25">
      <c r="B127" s="10">
        <v>2012</v>
      </c>
      <c r="E127" s="12">
        <f>IF(E$113-$E$122&gt;0,((E$113-$E$122)*$E$119)/E$113,0)</f>
        <v>0</v>
      </c>
      <c r="F127" s="12">
        <f aca="true" t="shared" si="64" ref="F127:P127">IF(F$113-$E$122&gt;0,((F$113-$E$122)*$E$119)/F$113,0)</f>
        <v>2072.3161527827915</v>
      </c>
      <c r="G127" s="12">
        <f t="shared" si="64"/>
        <v>3429.828489841228</v>
      </c>
      <c r="H127" s="12">
        <f t="shared" si="64"/>
        <v>4512.172762060753</v>
      </c>
      <c r="I127" s="12">
        <f t="shared" si="64"/>
        <v>5286.3024155477</v>
      </c>
      <c r="J127" s="12">
        <f t="shared" si="64"/>
        <v>5899.339461775382</v>
      </c>
      <c r="K127" s="12">
        <f t="shared" si="64"/>
        <v>6395.943639286104</v>
      </c>
      <c r="L127" s="12">
        <f t="shared" si="64"/>
        <v>6804.587657597615</v>
      </c>
      <c r="M127" s="12">
        <f t="shared" si="64"/>
        <v>7145.309525245211</v>
      </c>
      <c r="N127" s="12">
        <f t="shared" si="64"/>
        <v>7432.594782213251</v>
      </c>
      <c r="O127" s="12">
        <f t="shared" si="64"/>
        <v>7675.613136905395</v>
      </c>
      <c r="P127" s="12">
        <f t="shared" si="64"/>
        <v>7881.982952455139</v>
      </c>
    </row>
    <row r="128" spans="2:16" s="10" customFormat="1" ht="14.25">
      <c r="B128" s="10">
        <v>2013</v>
      </c>
      <c r="F128" s="12">
        <f>IF(F$113-$F$122&gt;0,((F$113-$F$122)*$F$119)/F$113,0)</f>
        <v>0</v>
      </c>
      <c r="G128" s="12">
        <f>IF(G$113-$F$122&gt;0,((G$113-$F$122)*$F$119)/G$113,0)</f>
        <v>1712.3694173739702</v>
      </c>
      <c r="H128" s="12">
        <f aca="true" t="shared" si="65" ref="H128:P128">IF(H$113-$F$122&gt;0,((H$113-$F$122)*$F$119)/H$113,0)</f>
        <v>3077.6411576180653</v>
      </c>
      <c r="I128" s="12">
        <f t="shared" si="65"/>
        <v>4054.1302159685497</v>
      </c>
      <c r="J128" s="12">
        <f t="shared" si="65"/>
        <v>4827.416661344234</v>
      </c>
      <c r="K128" s="12">
        <f t="shared" si="65"/>
        <v>5453.8343983293435</v>
      </c>
      <c r="L128" s="12">
        <f t="shared" si="65"/>
        <v>5969.298973086515</v>
      </c>
      <c r="M128" s="12">
        <f t="shared" si="65"/>
        <v>6399.086379110781</v>
      </c>
      <c r="N128" s="12">
        <f t="shared" si="65"/>
        <v>6761.468712342805</v>
      </c>
      <c r="O128" s="12">
        <f t="shared" si="65"/>
        <v>7068.012665628038</v>
      </c>
      <c r="P128" s="12">
        <f t="shared" si="65"/>
        <v>7328.32806105363</v>
      </c>
    </row>
    <row r="129" spans="2:16" s="10" customFormat="1" ht="14.25">
      <c r="B129" s="10">
        <v>2014</v>
      </c>
      <c r="G129" s="12">
        <f>IF(G$113-$G$122&gt;0,((G$113-$G$122)*$G$119)/G$113,0)</f>
        <v>0</v>
      </c>
      <c r="H129" s="12">
        <f aca="true" t="shared" si="66" ref="H129:P129">IF(H$113-$G$122&gt;0,((H$113-$G$122)*$G$119)/H$113,0)</f>
        <v>1647.3607584611873</v>
      </c>
      <c r="I129" s="12">
        <f t="shared" si="66"/>
        <v>2825.6095336872095</v>
      </c>
      <c r="J129" s="12">
        <f t="shared" si="66"/>
        <v>3758.670482369914</v>
      </c>
      <c r="K129" s="12">
        <f t="shared" si="66"/>
        <v>4514.517078981395</v>
      </c>
      <c r="L129" s="12">
        <f t="shared" si="66"/>
        <v>5136.485649633875</v>
      </c>
      <c r="M129" s="12">
        <f t="shared" si="66"/>
        <v>5655.074650120047</v>
      </c>
      <c r="N129" s="12">
        <f t="shared" si="66"/>
        <v>6092.331510955172</v>
      </c>
      <c r="O129" s="12">
        <f t="shared" si="66"/>
        <v>6462.212806011763</v>
      </c>
      <c r="P129" s="12">
        <f t="shared" si="66"/>
        <v>6776.31391468245</v>
      </c>
    </row>
    <row r="130" spans="2:16" s="10" customFormat="1" ht="14.25">
      <c r="B130" s="10">
        <v>2015</v>
      </c>
      <c r="E130" s="40"/>
      <c r="H130" s="12">
        <f>IF(H$113-$H$122&gt;0,((H$113-$H$122)*$H$119)/H$113,0)</f>
        <v>0</v>
      </c>
      <c r="I130" s="12">
        <f aca="true" t="shared" si="67" ref="I130:P130">IF(I$113-$H$122&gt;0,((I$113-$H$122)*$H$119)/I$113,0)</f>
        <v>1410.6305098949213</v>
      </c>
      <c r="J130" s="12">
        <f t="shared" si="67"/>
        <v>2527.7156870476297</v>
      </c>
      <c r="K130" s="12">
        <f t="shared" si="67"/>
        <v>3432.635167889747</v>
      </c>
      <c r="L130" s="12">
        <f t="shared" si="67"/>
        <v>4177.272345034124</v>
      </c>
      <c r="M130" s="12">
        <f t="shared" si="67"/>
        <v>4798.140774149509</v>
      </c>
      <c r="N130" s="12">
        <f t="shared" si="67"/>
        <v>5321.636220547562</v>
      </c>
      <c r="O130" s="12">
        <f t="shared" si="67"/>
        <v>5764.467862571702</v>
      </c>
      <c r="P130" s="12">
        <f t="shared" si="67"/>
        <v>6140.517994257768</v>
      </c>
    </row>
    <row r="131" spans="2:16" s="10" customFormat="1" ht="14.25">
      <c r="B131" s="10">
        <v>2016</v>
      </c>
      <c r="I131" s="12">
        <f>IF(I$113-$I$122&gt;0,((I$113-$I$122)*$I$119)/I$113,0)</f>
        <v>0</v>
      </c>
      <c r="J131" s="12">
        <f aca="true" t="shared" si="68" ref="J131:P131">IF(J$113-$I$122&gt;0,((J$113-$I$122)*$I$119)/J$113,0)</f>
        <v>1300.5438623167697</v>
      </c>
      <c r="K131" s="12">
        <f t="shared" si="68"/>
        <v>2354.0780965636272</v>
      </c>
      <c r="L131" s="12">
        <f t="shared" si="68"/>
        <v>3221.0068950070945</v>
      </c>
      <c r="M131" s="12">
        <f t="shared" si="68"/>
        <v>3943.8404275855023</v>
      </c>
      <c r="N131" s="12">
        <f t="shared" si="68"/>
        <v>4553.309431103301</v>
      </c>
      <c r="O131" s="12">
        <f t="shared" si="68"/>
        <v>5068.867229070056</v>
      </c>
      <c r="P131" s="12">
        <f t="shared" si="68"/>
        <v>5506.6760020181455</v>
      </c>
    </row>
    <row r="132" spans="2:16" s="10" customFormat="1" ht="14.25">
      <c r="B132" s="10">
        <v>2017</v>
      </c>
      <c r="E132" s="12"/>
      <c r="J132" s="12">
        <f aca="true" t="shared" si="69" ref="J132:P132">IF(J$113-$J$122&gt;0,((J$113-$J$122)*$J$119)/J$113,0)</f>
        <v>0</v>
      </c>
      <c r="K132" s="12">
        <f t="shared" si="69"/>
        <v>1211.0345952355437</v>
      </c>
      <c r="L132" s="12">
        <f t="shared" si="69"/>
        <v>2207.566774630313</v>
      </c>
      <c r="M132" s="12">
        <f t="shared" si="69"/>
        <v>3038.4618571945284</v>
      </c>
      <c r="N132" s="12">
        <f t="shared" si="69"/>
        <v>3739.04473717225</v>
      </c>
      <c r="O132" s="12">
        <f t="shared" si="69"/>
        <v>4331.676954413424</v>
      </c>
      <c r="P132" s="12">
        <f t="shared" si="69"/>
        <v>4834.936889309403</v>
      </c>
    </row>
    <row r="133" spans="2:16" s="10" customFormat="1" ht="14.25">
      <c r="B133" s="10">
        <v>2018</v>
      </c>
      <c r="E133" s="12"/>
      <c r="J133" s="12"/>
      <c r="K133" s="12">
        <f aca="true" t="shared" si="70" ref="K133:P133">IF(K$113-$K$122&gt;0,((K$113-$K$122)*$K$119)/K$113,0)</f>
        <v>0</v>
      </c>
      <c r="L133" s="12">
        <f t="shared" si="70"/>
        <v>1133.844694455793</v>
      </c>
      <c r="M133" s="12">
        <f t="shared" si="70"/>
        <v>2079.2290989885396</v>
      </c>
      <c r="N133" s="12">
        <f t="shared" si="70"/>
        <v>2876.3455372873395</v>
      </c>
      <c r="O133" s="12">
        <f t="shared" si="70"/>
        <v>3550.636753543478</v>
      </c>
      <c r="P133" s="12">
        <f t="shared" si="70"/>
        <v>4123.241049634077</v>
      </c>
    </row>
    <row r="134" spans="2:16" s="10" customFormat="1" ht="14.25">
      <c r="B134" s="10">
        <v>2019</v>
      </c>
      <c r="E134" s="12"/>
      <c r="J134" s="12"/>
      <c r="K134" s="12"/>
      <c r="L134" s="12">
        <f>IF(L$113-$L$122&gt;0,((L$113-$L$122)*$L$119)/L$113,0)</f>
        <v>0</v>
      </c>
      <c r="M134" s="12">
        <f>IF(M$113-$L$122&gt;0,((M$113-$L$122)*$L$119)/M$113,0)</f>
        <v>1066.284507718443</v>
      </c>
      <c r="N134" s="12">
        <f>IF(N$113-$L$122&gt;0,((N$113-$L$122)*$L$119)/N$113,0)</f>
        <v>1965.3398601555305</v>
      </c>
      <c r="O134" s="12">
        <f>IF(O$113-$L$122&gt;0,((O$113-$L$122)*$L$119)/O$113,0)</f>
        <v>2725.8625365793105</v>
      </c>
      <c r="P134" s="12">
        <f>IF(P$113-$L$122&gt;0,((P$113-$L$122)*$L$119)/P$113,0)</f>
        <v>3371.6941020748277</v>
      </c>
    </row>
    <row r="135" spans="2:16" s="10" customFormat="1" ht="14.25">
      <c r="B135" s="10">
        <v>2020</v>
      </c>
      <c r="E135" s="12"/>
      <c r="J135" s="12"/>
      <c r="K135" s="12"/>
      <c r="M135" s="12">
        <f>IF(M$113-$M$122&gt;0,((M$113-$M$122)*$M$119)/M$113,0)</f>
        <v>0</v>
      </c>
      <c r="N135" s="12">
        <f>IF(N$113-$M$122&gt;0,((N$113-$M$122)*$M$119)/N$113,0)</f>
        <v>1006.3621941104377</v>
      </c>
      <c r="O135" s="12">
        <f>IF(O$113-$M$122&gt;0,((O$113-$M$122)*$M$119)/O$113,0)</f>
        <v>1857.6571307813529</v>
      </c>
      <c r="P135" s="12">
        <f>IF(P$113-$M$122&gt;0,((P$113-$M$122)*$M$119)/P$113,0)</f>
        <v>2580.571987487384</v>
      </c>
    </row>
    <row r="136" spans="2:16" s="10" customFormat="1" ht="14.25">
      <c r="B136" s="10">
        <v>2021</v>
      </c>
      <c r="E136" s="12"/>
      <c r="J136" s="12"/>
      <c r="K136" s="12"/>
      <c r="N136" s="12">
        <f>IF(N$113-$N$122&gt;0,((N$113-$N$122)*$N$119)/N$113,0)</f>
        <v>0</v>
      </c>
      <c r="O136" s="12">
        <f>IF(O$113-$N$122&gt;0,((O$113-$N$122)*$N$119)/O$113,0)</f>
        <v>946.5523907505341</v>
      </c>
      <c r="P136" s="12">
        <f>IF(P$113-$N$122&gt;0,((P$113-$N$122)*$N$119)/P$113,0)</f>
        <v>1750.3593399614795</v>
      </c>
    </row>
    <row r="137" spans="2:16" s="10" customFormat="1" ht="14.25">
      <c r="B137" s="10">
        <v>2022</v>
      </c>
      <c r="E137" s="12"/>
      <c r="J137" s="12"/>
      <c r="K137" s="12"/>
      <c r="O137" s="12">
        <f>IF(O$113-$O$122&gt;0,((O$113-$O$122)*$O$119)/O$113,0)</f>
        <v>0</v>
      </c>
      <c r="P137" s="12">
        <f>IF(P$113-$O$122&gt;0,((P$113-$O$122)*$O$119)/P$113,0)</f>
        <v>887.8462480853539</v>
      </c>
    </row>
    <row r="138" spans="2:16" s="10" customFormat="1" ht="14.25">
      <c r="B138" s="10">
        <v>2023</v>
      </c>
      <c r="E138" s="12"/>
      <c r="J138" s="12"/>
      <c r="K138" s="12"/>
      <c r="P138" s="12">
        <f>IF(P$113-$P$122&gt;0,((P$113-$P$122)*$P$119)/P$113,0)</f>
        <v>0</v>
      </c>
    </row>
    <row r="139" spans="1:16" s="10" customFormat="1" ht="14.25">
      <c r="A139" s="38" t="s">
        <v>94</v>
      </c>
      <c r="C139" s="41">
        <f>SUM(C125:C138)</f>
        <v>0</v>
      </c>
      <c r="D139" s="41">
        <f aca="true" t="shared" si="71" ref="D139:P139">SUM(D125:D138)</f>
        <v>12819.011287492784</v>
      </c>
      <c r="E139" s="41">
        <f t="shared" si="71"/>
        <v>20922.25284109098</v>
      </c>
      <c r="F139" s="41">
        <f t="shared" si="71"/>
        <v>31092.71365905067</v>
      </c>
      <c r="G139" s="41">
        <f t="shared" si="71"/>
        <v>39467.44780075001</v>
      </c>
      <c r="H139" s="41">
        <f t="shared" si="71"/>
        <v>47791.98215254361</v>
      </c>
      <c r="I139" s="41">
        <f t="shared" si="71"/>
        <v>55156.60443621966</v>
      </c>
      <c r="J139" s="41">
        <f t="shared" si="71"/>
        <v>62289.228585128185</v>
      </c>
      <c r="K139" s="41">
        <f t="shared" si="71"/>
        <v>69278.2026552422</v>
      </c>
      <c r="L139" s="41">
        <f t="shared" si="71"/>
        <v>76163.11143095957</v>
      </c>
      <c r="M139" s="41">
        <f t="shared" si="71"/>
        <v>82969.9399611712</v>
      </c>
      <c r="N139" s="41">
        <f t="shared" si="71"/>
        <v>89715.59179037422</v>
      </c>
      <c r="O139" s="41">
        <f t="shared" si="71"/>
        <v>96368.37925270502</v>
      </c>
      <c r="P139" s="41">
        <f t="shared" si="71"/>
        <v>102905.73507479794</v>
      </c>
    </row>
    <row r="140" spans="1:16" s="10" customFormat="1" ht="14.25">
      <c r="A140" s="38" t="s">
        <v>90</v>
      </c>
      <c r="C140" s="42">
        <f>C139*C113/1000</f>
        <v>0</v>
      </c>
      <c r="D140" s="42">
        <f aca="true" t="shared" si="72" ref="D140:P140">D139*D113/1000</f>
        <v>378.4411818730117</v>
      </c>
      <c r="E140" s="42">
        <f t="shared" si="72"/>
        <v>745.7440986878161</v>
      </c>
      <c r="F140" s="42">
        <f t="shared" si="72"/>
        <v>1397.9565851284024</v>
      </c>
      <c r="G140" s="42">
        <f t="shared" si="72"/>
        <v>2141.1333485321525</v>
      </c>
      <c r="H140" s="42">
        <f t="shared" si="72"/>
        <v>3104.1020552433497</v>
      </c>
      <c r="I140" s="42">
        <f t="shared" si="72"/>
        <v>4170.77906750529</v>
      </c>
      <c r="J140" s="42">
        <f t="shared" si="72"/>
        <v>5414.2775204163145</v>
      </c>
      <c r="K140" s="42">
        <f t="shared" si="72"/>
        <v>6851.51191232855</v>
      </c>
      <c r="L140" s="42">
        <f t="shared" si="72"/>
        <v>8495.699613894121</v>
      </c>
      <c r="M140" s="42">
        <f t="shared" si="72"/>
        <v>10359.603390223352</v>
      </c>
      <c r="N140" s="42">
        <f t="shared" si="72"/>
        <v>12455.31988719115</v>
      </c>
      <c r="O140" s="42">
        <f t="shared" si="72"/>
        <v>14777.723007573679</v>
      </c>
      <c r="P140" s="42">
        <f t="shared" si="72"/>
        <v>17317.751644436168</v>
      </c>
    </row>
    <row r="141" spans="3:11" s="10" customFormat="1" ht="14.25">
      <c r="C141" s="42"/>
      <c r="D141" s="46"/>
      <c r="E141" s="42"/>
      <c r="F141" s="42"/>
      <c r="G141" s="42"/>
      <c r="H141" s="42"/>
      <c r="I141" s="42"/>
      <c r="J141" s="42"/>
      <c r="K141" s="42"/>
    </row>
    <row r="142" spans="1:16" s="10" customFormat="1" ht="14.25">
      <c r="A142" s="38" t="s">
        <v>83</v>
      </c>
      <c r="B142" s="10">
        <v>2010</v>
      </c>
      <c r="C142" s="12">
        <f aca="true" t="shared" si="73" ref="C142:P142">IF(C$113-$C$123&gt;0,((C$113-$C$123)*$C$120)/C$113,0)</f>
        <v>0</v>
      </c>
      <c r="D142" s="12">
        <f t="shared" si="73"/>
        <v>5127.604514997113</v>
      </c>
      <c r="E142" s="12">
        <f t="shared" si="73"/>
        <v>7681.9090428222025</v>
      </c>
      <c r="F142" s="12">
        <f t="shared" si="73"/>
        <v>10234.60692902292</v>
      </c>
      <c r="G142" s="12">
        <f t="shared" si="73"/>
        <v>11906.802973360604</v>
      </c>
      <c r="H142" s="12">
        <f t="shared" si="73"/>
        <v>13240.044492578654</v>
      </c>
      <c r="I142" s="12">
        <f t="shared" si="73"/>
        <v>14193.62444100873</v>
      </c>
      <c r="J142" s="12">
        <f t="shared" si="73"/>
        <v>14948.769050563948</v>
      </c>
      <c r="K142" s="12">
        <f t="shared" si="73"/>
        <v>15560.490593393104</v>
      </c>
      <c r="L142" s="12">
        <f t="shared" si="73"/>
        <v>16063.862012059883</v>
      </c>
      <c r="M142" s="12">
        <f t="shared" si="73"/>
        <v>16483.566307738143</v>
      </c>
      <c r="N142" s="12">
        <f t="shared" si="73"/>
        <v>16837.446900336996</v>
      </c>
      <c r="O142" s="12">
        <f t="shared" si="73"/>
        <v>17136.799120073145</v>
      </c>
      <c r="P142" s="12">
        <f t="shared" si="73"/>
        <v>17391.00733594892</v>
      </c>
    </row>
    <row r="143" spans="2:16" s="10" customFormat="1" ht="14.25">
      <c r="B143" s="10">
        <v>2011</v>
      </c>
      <c r="D143" s="12">
        <f aca="true" t="shared" si="74" ref="D143:P143">IF(D$113-$D$123&gt;0,((D$113-$D$123)*$D$120)/D$113,0)</f>
        <v>0</v>
      </c>
      <c r="E143" s="12">
        <f t="shared" si="74"/>
        <v>858.7401170177371</v>
      </c>
      <c r="F143" s="12">
        <f t="shared" si="74"/>
        <v>1716.9400918552885</v>
      </c>
      <c r="G143" s="12">
        <f t="shared" si="74"/>
        <v>2279.121230066649</v>
      </c>
      <c r="H143" s="12">
        <f t="shared" si="74"/>
        <v>2727.348121478484</v>
      </c>
      <c r="I143" s="12">
        <f t="shared" si="74"/>
        <v>3047.9353292997293</v>
      </c>
      <c r="J143" s="12">
        <f t="shared" si="74"/>
        <v>3301.809901932193</v>
      </c>
      <c r="K143" s="12">
        <f t="shared" si="74"/>
        <v>3507.466597736849</v>
      </c>
      <c r="L143" s="12">
        <f t="shared" si="74"/>
        <v>3676.6967056822614</v>
      </c>
      <c r="M143" s="12">
        <f t="shared" si="74"/>
        <v>3817.79848585664</v>
      </c>
      <c r="N143" s="12">
        <f t="shared" si="74"/>
        <v>3936.770776822039</v>
      </c>
      <c r="O143" s="12">
        <f t="shared" si="74"/>
        <v>4037.4109931335324</v>
      </c>
      <c r="P143" s="12">
        <f t="shared" si="74"/>
        <v>4122.874096952992</v>
      </c>
    </row>
    <row r="144" spans="2:16" s="10" customFormat="1" ht="14.25">
      <c r="B144" s="10">
        <v>2012</v>
      </c>
      <c r="E144" s="12">
        <f aca="true" t="shared" si="75" ref="E144:P144">IF(E$113-$E$123&gt;0,((E$113-$E$123)*$E$120)/E$113,0)</f>
        <v>0</v>
      </c>
      <c r="F144" s="12">
        <f t="shared" si="75"/>
        <v>1036.1580763913958</v>
      </c>
      <c r="G144" s="12">
        <f t="shared" si="75"/>
        <v>1714.914244920614</v>
      </c>
      <c r="H144" s="12">
        <f t="shared" si="75"/>
        <v>2256.0863810303763</v>
      </c>
      <c r="I144" s="12">
        <f t="shared" si="75"/>
        <v>2643.15120777385</v>
      </c>
      <c r="J144" s="12">
        <f t="shared" si="75"/>
        <v>2949.669730887691</v>
      </c>
      <c r="K144" s="12">
        <f t="shared" si="75"/>
        <v>3197.971819643052</v>
      </c>
      <c r="L144" s="12">
        <f t="shared" si="75"/>
        <v>3402.2938287988077</v>
      </c>
      <c r="M144" s="12">
        <f t="shared" si="75"/>
        <v>3572.6547626226056</v>
      </c>
      <c r="N144" s="12">
        <f t="shared" si="75"/>
        <v>3716.2973911066256</v>
      </c>
      <c r="O144" s="12">
        <f t="shared" si="75"/>
        <v>3837.8065684526973</v>
      </c>
      <c r="P144" s="12">
        <f t="shared" si="75"/>
        <v>3940.9914762275694</v>
      </c>
    </row>
    <row r="145" spans="2:16" s="10" customFormat="1" ht="14.25">
      <c r="B145" s="10">
        <v>2013</v>
      </c>
      <c r="F145" s="12">
        <f aca="true" t="shared" si="76" ref="F145:P145">IF(F$113-$F$123&gt;0,((F$113-$F$123)*$F$120)/F$113,0)</f>
        <v>0</v>
      </c>
      <c r="G145" s="12">
        <f t="shared" si="76"/>
        <v>856.1847086869851</v>
      </c>
      <c r="H145" s="12">
        <f t="shared" si="76"/>
        <v>1538.8205788090327</v>
      </c>
      <c r="I145" s="12">
        <f t="shared" si="76"/>
        <v>2027.0651079842748</v>
      </c>
      <c r="J145" s="12">
        <f t="shared" si="76"/>
        <v>2413.708330672117</v>
      </c>
      <c r="K145" s="12">
        <f t="shared" si="76"/>
        <v>2726.9171991646717</v>
      </c>
      <c r="L145" s="12">
        <f t="shared" si="76"/>
        <v>2984.6494865432574</v>
      </c>
      <c r="M145" s="12">
        <f t="shared" si="76"/>
        <v>3199.5431895553907</v>
      </c>
      <c r="N145" s="12">
        <f t="shared" si="76"/>
        <v>3380.7343561714024</v>
      </c>
      <c r="O145" s="12">
        <f t="shared" si="76"/>
        <v>3534.006332814019</v>
      </c>
      <c r="P145" s="12">
        <f t="shared" si="76"/>
        <v>3664.164030526815</v>
      </c>
    </row>
    <row r="146" spans="2:16" s="10" customFormat="1" ht="14.25">
      <c r="B146" s="10">
        <v>2014</v>
      </c>
      <c r="G146" s="12">
        <f aca="true" t="shared" si="77" ref="G146:P146">IF(G$113-$G$123&gt;0,((G$113-$G$123)*$G$120)/G$113,0)</f>
        <v>0</v>
      </c>
      <c r="H146" s="12">
        <f t="shared" si="77"/>
        <v>823.6803792305936</v>
      </c>
      <c r="I146" s="12">
        <f t="shared" si="77"/>
        <v>1412.8047668436047</v>
      </c>
      <c r="J146" s="12">
        <f t="shared" si="77"/>
        <v>1879.335241184957</v>
      </c>
      <c r="K146" s="12">
        <f t="shared" si="77"/>
        <v>2257.2585394906973</v>
      </c>
      <c r="L146" s="12">
        <f t="shared" si="77"/>
        <v>2568.2428248169376</v>
      </c>
      <c r="M146" s="12">
        <f t="shared" si="77"/>
        <v>2827.5373250600237</v>
      </c>
      <c r="N146" s="12">
        <f t="shared" si="77"/>
        <v>3046.165755477586</v>
      </c>
      <c r="O146" s="12">
        <f t="shared" si="77"/>
        <v>3231.1064030058815</v>
      </c>
      <c r="P146" s="12">
        <f t="shared" si="77"/>
        <v>3388.156957341225</v>
      </c>
    </row>
    <row r="147" spans="2:16" s="10" customFormat="1" ht="14.25">
      <c r="B147" s="10">
        <v>2015</v>
      </c>
      <c r="E147" s="40"/>
      <c r="H147" s="12">
        <f aca="true" t="shared" si="78" ref="H147:P147">IF(H$113-$H$123&gt;0,((H$113-$H$123)*$H$120)/H$113,0)</f>
        <v>0</v>
      </c>
      <c r="I147" s="12">
        <f t="shared" si="78"/>
        <v>705.3152549474606</v>
      </c>
      <c r="J147" s="12">
        <f t="shared" si="78"/>
        <v>1263.8578435238148</v>
      </c>
      <c r="K147" s="12">
        <f t="shared" si="78"/>
        <v>1716.3175839448736</v>
      </c>
      <c r="L147" s="12">
        <f t="shared" si="78"/>
        <v>2088.636172517062</v>
      </c>
      <c r="M147" s="12">
        <f t="shared" si="78"/>
        <v>2399.0703870747543</v>
      </c>
      <c r="N147" s="12">
        <f t="shared" si="78"/>
        <v>2660.818110273781</v>
      </c>
      <c r="O147" s="12">
        <f t="shared" si="78"/>
        <v>2882.233931285851</v>
      </c>
      <c r="P147" s="12">
        <f t="shared" si="78"/>
        <v>3070.258997128884</v>
      </c>
    </row>
    <row r="148" spans="2:16" s="10" customFormat="1" ht="14.25">
      <c r="B148" s="10">
        <v>2016</v>
      </c>
      <c r="I148" s="12">
        <f aca="true" t="shared" si="79" ref="I148:P148">IF(I$113-$I$123&gt;0,((I$113-$I$123)*$I$120)/I$113,0)</f>
        <v>0</v>
      </c>
      <c r="J148" s="12">
        <f t="shared" si="79"/>
        <v>650.2719311583849</v>
      </c>
      <c r="K148" s="12">
        <f t="shared" si="79"/>
        <v>1177.0390482818136</v>
      </c>
      <c r="L148" s="12">
        <f t="shared" si="79"/>
        <v>1610.5034475035472</v>
      </c>
      <c r="M148" s="12">
        <f t="shared" si="79"/>
        <v>1971.9202137927512</v>
      </c>
      <c r="N148" s="12">
        <f t="shared" si="79"/>
        <v>2276.6547155516505</v>
      </c>
      <c r="O148" s="12">
        <f t="shared" si="79"/>
        <v>2534.433614535028</v>
      </c>
      <c r="P148" s="12">
        <f t="shared" si="79"/>
        <v>2753.3380010090727</v>
      </c>
    </row>
    <row r="149" spans="2:16" s="10" customFormat="1" ht="14.25">
      <c r="B149" s="10">
        <v>2017</v>
      </c>
      <c r="E149" s="12"/>
      <c r="J149" s="12">
        <f aca="true" t="shared" si="80" ref="J149:P149">IF(J$113-$J$123&gt;0,((J$113-$J$123)*$J$120)/J$113,0)</f>
        <v>0</v>
      </c>
      <c r="K149" s="12">
        <f t="shared" si="80"/>
        <v>605.5172976177719</v>
      </c>
      <c r="L149" s="12">
        <f t="shared" si="80"/>
        <v>1103.7833873151565</v>
      </c>
      <c r="M149" s="12">
        <f t="shared" si="80"/>
        <v>1519.2309285972642</v>
      </c>
      <c r="N149" s="12">
        <f t="shared" si="80"/>
        <v>1869.522368586125</v>
      </c>
      <c r="O149" s="12">
        <f t="shared" si="80"/>
        <v>2165.838477206712</v>
      </c>
      <c r="P149" s="12">
        <f t="shared" si="80"/>
        <v>2417.4684446547017</v>
      </c>
    </row>
    <row r="150" spans="2:16" s="10" customFormat="1" ht="14.25">
      <c r="B150" s="10">
        <v>2018</v>
      </c>
      <c r="E150" s="12"/>
      <c r="J150" s="12"/>
      <c r="K150" s="12">
        <f aca="true" t="shared" si="81" ref="K150:P150">IF(K$113-$K$123&gt;0,((K$113-$K$123)*$K$120)/K$113,0)</f>
        <v>0</v>
      </c>
      <c r="L150" s="12">
        <f t="shared" si="81"/>
        <v>566.9223472278965</v>
      </c>
      <c r="M150" s="12">
        <f t="shared" si="81"/>
        <v>1039.6145494942698</v>
      </c>
      <c r="N150" s="12">
        <f t="shared" si="81"/>
        <v>1438.1727686436698</v>
      </c>
      <c r="O150" s="12">
        <f t="shared" si="81"/>
        <v>1775.318376771739</v>
      </c>
      <c r="P150" s="12">
        <f t="shared" si="81"/>
        <v>2061.6205248170386</v>
      </c>
    </row>
    <row r="151" spans="2:16" s="10" customFormat="1" ht="14.25">
      <c r="B151" s="10">
        <v>2019</v>
      </c>
      <c r="E151" s="12"/>
      <c r="J151" s="12"/>
      <c r="K151" s="12"/>
      <c r="L151" s="12">
        <f>IF(L$113-$L$123&gt;0,((L$113-$L$123)*$L$120)/L$113,0)</f>
        <v>0</v>
      </c>
      <c r="M151" s="12">
        <f>IF(M$113-$L$123&gt;0,((M$113-$L$123)*$L$120)/M$113,0)</f>
        <v>533.1422538592215</v>
      </c>
      <c r="N151" s="12">
        <f>IF(N$113-$L$123&gt;0,((N$113-$L$123)*$L$120)/N$113,0)</f>
        <v>982.6699300777652</v>
      </c>
      <c r="O151" s="12">
        <f>IF(O$113-$L$123&gt;0,((O$113-$L$123)*$L$120)/O$113,0)</f>
        <v>1362.9312682896552</v>
      </c>
      <c r="P151" s="12">
        <f>IF(P$113-$L$123&gt;0,((P$113-$L$123)*$L$120)/P$113,0)</f>
        <v>1685.8470510374138</v>
      </c>
    </row>
    <row r="152" spans="2:16" s="10" customFormat="1" ht="14.25">
      <c r="B152" s="10">
        <v>2020</v>
      </c>
      <c r="E152" s="12"/>
      <c r="J152" s="12"/>
      <c r="K152" s="12"/>
      <c r="M152" s="12">
        <f>IF(M$113-$M$123&gt;0,((M$113-$M$123)*$M$120)/M$113,0)</f>
        <v>0</v>
      </c>
      <c r="N152" s="12">
        <f>IF(N$113-$M$123&gt;0,((N$113-$M$123)*$M$120)/N$113,0)</f>
        <v>503.18109705521886</v>
      </c>
      <c r="O152" s="12">
        <f>IF(O$113-$M$123&gt;0,((O$113-$M$123)*$M$120)/O$113,0)</f>
        <v>928.8285653906764</v>
      </c>
      <c r="P152" s="12">
        <f>IF(P$113-$M$123&gt;0,((P$113-$M$123)*$M$120)/P$113,0)</f>
        <v>1290.285993743692</v>
      </c>
    </row>
    <row r="153" spans="2:16" s="10" customFormat="1" ht="14.25">
      <c r="B153" s="10">
        <v>2021</v>
      </c>
      <c r="E153" s="12"/>
      <c r="J153" s="12"/>
      <c r="K153" s="12"/>
      <c r="N153" s="12">
        <f>IF(N$113-$N$123&gt;0,((N$113-$N$123)*$N$120)/N$113,0)</f>
        <v>0</v>
      </c>
      <c r="O153" s="12">
        <f>IF(O$113-$N$123&gt;0,((O$113-$N$123)*$N$120)/O$113,0)</f>
        <v>473.27619537526704</v>
      </c>
      <c r="P153" s="12">
        <f>IF(P$113-$N$123&gt;0,((P$113-$N$123)*$N$120)/P$113,0)</f>
        <v>875.1796699807397</v>
      </c>
    </row>
    <row r="154" spans="2:16" s="10" customFormat="1" ht="14.25">
      <c r="B154" s="10">
        <v>2022</v>
      </c>
      <c r="E154" s="12"/>
      <c r="J154" s="12"/>
      <c r="K154" s="12"/>
      <c r="O154" s="12">
        <f>IF(O$113-$O$123&gt;0,((O$113-$O$123)*$O$120)/O$113,0)</f>
        <v>0</v>
      </c>
      <c r="P154" s="12">
        <f>IF(P$113-$O$123&gt;0,((P$113-$O$123)*$O$120)/P$113,0)</f>
        <v>443.92312404267693</v>
      </c>
    </row>
    <row r="155" spans="2:16" s="10" customFormat="1" ht="14.25">
      <c r="B155" s="10">
        <v>2023</v>
      </c>
      <c r="E155" s="12"/>
      <c r="J155" s="12"/>
      <c r="K155" s="12"/>
      <c r="P155" s="12">
        <f>IF(P$113-$P$123&gt;0,((P$113-$P$123)*$P$120)/P$113,0)</f>
        <v>0</v>
      </c>
    </row>
    <row r="156" spans="1:16" s="10" customFormat="1" ht="14.25">
      <c r="A156" s="38" t="s">
        <v>94</v>
      </c>
      <c r="C156" s="41">
        <f>SUM(C142:C155)</f>
        <v>0</v>
      </c>
      <c r="D156" s="41">
        <f aca="true" t="shared" si="82" ref="D156:P156">SUM(D142:D155)</f>
        <v>5127.604514997113</v>
      </c>
      <c r="E156" s="41">
        <f t="shared" si="82"/>
        <v>8540.649159839939</v>
      </c>
      <c r="F156" s="41">
        <f t="shared" si="82"/>
        <v>12987.705097269605</v>
      </c>
      <c r="G156" s="41">
        <f t="shared" si="82"/>
        <v>16757.02315703485</v>
      </c>
      <c r="H156" s="41">
        <f t="shared" si="82"/>
        <v>20585.979953127142</v>
      </c>
      <c r="I156" s="41">
        <f t="shared" si="82"/>
        <v>24029.89610785765</v>
      </c>
      <c r="J156" s="41">
        <f t="shared" si="82"/>
        <v>27407.422029923106</v>
      </c>
      <c r="K156" s="41">
        <f t="shared" si="82"/>
        <v>30748.978679272834</v>
      </c>
      <c r="L156" s="41">
        <f t="shared" si="82"/>
        <v>34065.590212464806</v>
      </c>
      <c r="M156" s="41">
        <f t="shared" si="82"/>
        <v>37364.07840365107</v>
      </c>
      <c r="N156" s="41">
        <f t="shared" si="82"/>
        <v>40648.43417010286</v>
      </c>
      <c r="O156" s="41">
        <f t="shared" si="82"/>
        <v>43899.989846334225</v>
      </c>
      <c r="P156" s="41">
        <f t="shared" si="82"/>
        <v>47105.11570341174</v>
      </c>
    </row>
    <row r="157" spans="1:16" s="10" customFormat="1" ht="14.25">
      <c r="A157" s="38" t="s">
        <v>91</v>
      </c>
      <c r="C157" s="42">
        <f aca="true" t="shared" si="83" ref="C157:K157">C156*C113/1000</f>
        <v>0</v>
      </c>
      <c r="D157" s="42">
        <f t="shared" si="83"/>
        <v>151.37647274920465</v>
      </c>
      <c r="E157" s="42">
        <f t="shared" si="83"/>
        <v>304.41935475537315</v>
      </c>
      <c r="F157" s="42">
        <f t="shared" si="83"/>
        <v>583.9389918013387</v>
      </c>
      <c r="G157" s="42">
        <f t="shared" si="83"/>
        <v>909.0788257904793</v>
      </c>
      <c r="H157" s="42">
        <f t="shared" si="83"/>
        <v>1337.0649176621225</v>
      </c>
      <c r="I157" s="42">
        <f t="shared" si="83"/>
        <v>1817.069573179996</v>
      </c>
      <c r="J157" s="42">
        <f t="shared" si="83"/>
        <v>2382.296142685007</v>
      </c>
      <c r="K157" s="42">
        <f t="shared" si="83"/>
        <v>3041.0285723114494</v>
      </c>
      <c r="L157" s="42">
        <f>L156*L113/1000</f>
        <v>3799.88443457248</v>
      </c>
      <c r="M157" s="42">
        <f>M156*M113/1000</f>
        <v>4665.268330725339</v>
      </c>
      <c r="N157" s="42">
        <f>N156*N113/1000</f>
        <v>5643.269362643644</v>
      </c>
      <c r="O157" s="42">
        <f>O156*O113/1000</f>
        <v>6731.895825322954</v>
      </c>
      <c r="P157" s="42">
        <f>P156*P113/1000</f>
        <v>7927.203419140599</v>
      </c>
    </row>
    <row r="158" spans="1:16" s="10" customFormat="1" ht="14.25">
      <c r="A158" s="38" t="s">
        <v>93</v>
      </c>
      <c r="C158" s="42">
        <f>C157*$C$214</f>
        <v>0</v>
      </c>
      <c r="D158" s="42">
        <f aca="true" t="shared" si="84" ref="D158:K158">D157*$C$214</f>
        <v>52.981765462221624</v>
      </c>
      <c r="E158" s="42">
        <f t="shared" si="84"/>
        <v>106.5467741643806</v>
      </c>
      <c r="F158" s="42">
        <f t="shared" si="84"/>
        <v>204.37864713046855</v>
      </c>
      <c r="G158" s="42">
        <f t="shared" si="84"/>
        <v>318.17758902666776</v>
      </c>
      <c r="H158" s="42">
        <f t="shared" si="84"/>
        <v>467.9727211817428</v>
      </c>
      <c r="I158" s="42">
        <f t="shared" si="84"/>
        <v>635.9743506129986</v>
      </c>
      <c r="J158" s="42">
        <f t="shared" si="84"/>
        <v>833.8036499397524</v>
      </c>
      <c r="K158" s="42">
        <f t="shared" si="84"/>
        <v>1064.3600003090073</v>
      </c>
      <c r="L158" s="42">
        <f>L157*$C$214</f>
        <v>1329.959552100368</v>
      </c>
      <c r="M158" s="42">
        <f>M157*$C$214</f>
        <v>1632.8439157538687</v>
      </c>
      <c r="N158" s="42">
        <f>N157*$C$214</f>
        <v>1975.1442769252753</v>
      </c>
      <c r="O158" s="42">
        <f>O157*$C$214</f>
        <v>2356.163538863034</v>
      </c>
      <c r="P158" s="42">
        <f>P157*$C$214</f>
        <v>2774.5211966992097</v>
      </c>
    </row>
    <row r="159" spans="3:11" s="25" customFormat="1" ht="14.25"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s="10" customFormat="1" ht="14.25">
      <c r="A160" s="10" t="s">
        <v>84</v>
      </c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s="10" customFormat="1" ht="14.25">
      <c r="A161" s="38" t="s">
        <v>85</v>
      </c>
      <c r="B161" s="11">
        <f>C67</f>
        <v>70193.6679057485</v>
      </c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s="10" customFormat="1" ht="14.25">
      <c r="A162" s="38" t="s">
        <v>86</v>
      </c>
      <c r="B162" s="12">
        <f>-B20</f>
        <v>-55000</v>
      </c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s="10" customFormat="1" ht="14.25">
      <c r="A163" s="38" t="s">
        <v>87</v>
      </c>
      <c r="B163" s="41">
        <f>B162+B161</f>
        <v>15193.667905748502</v>
      </c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s="10" customFormat="1" ht="14.25">
      <c r="A164" s="38"/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2:11" s="10" customFormat="1" ht="15" thickBot="1">
      <c r="B165" s="44">
        <v>40178</v>
      </c>
      <c r="C165" s="44">
        <v>40543</v>
      </c>
      <c r="D165" s="44">
        <v>40908</v>
      </c>
      <c r="E165" s="44">
        <v>41274</v>
      </c>
      <c r="F165" s="44">
        <v>41639</v>
      </c>
      <c r="G165" s="44">
        <v>42004</v>
      </c>
      <c r="H165" s="44">
        <v>42369</v>
      </c>
      <c r="I165" s="44">
        <v>42735</v>
      </c>
      <c r="J165" s="44">
        <v>43100</v>
      </c>
      <c r="K165" s="44">
        <v>43465</v>
      </c>
    </row>
    <row r="166" spans="2:11" s="10" customFormat="1" ht="14.25">
      <c r="B166" s="12">
        <f>-B163</f>
        <v>-15193.667905748502</v>
      </c>
      <c r="C166" s="42">
        <f>C$113*C$108/1000</f>
        <v>21953.04613749254</v>
      </c>
      <c r="E166" s="42"/>
      <c r="F166" s="42"/>
      <c r="G166" s="42"/>
      <c r="H166" s="42"/>
      <c r="I166" s="42"/>
      <c r="J166" s="42"/>
      <c r="K166" s="42"/>
    </row>
    <row r="167" spans="2:11" s="10" customFormat="1" ht="14.25">
      <c r="B167" s="12">
        <f aca="true" t="shared" si="85" ref="B167:B174">B166</f>
        <v>-15193.667905748502</v>
      </c>
      <c r="C167" s="42">
        <v>0</v>
      </c>
      <c r="D167" s="42">
        <f>D$113*D$108/1000</f>
        <v>29521.86977495278</v>
      </c>
      <c r="E167" s="42"/>
      <c r="F167" s="42"/>
      <c r="G167" s="42"/>
      <c r="H167" s="42"/>
      <c r="I167" s="42"/>
      <c r="J167" s="42"/>
      <c r="K167" s="42"/>
    </row>
    <row r="168" spans="2:11" s="10" customFormat="1" ht="14.25">
      <c r="B168" s="12">
        <f t="shared" si="85"/>
        <v>-15193.667905748502</v>
      </c>
      <c r="C168" s="42">
        <v>0</v>
      </c>
      <c r="D168" s="42">
        <v>0</v>
      </c>
      <c r="E168" s="42">
        <f>E$113*E$108/1000</f>
        <v>35643.58505519952</v>
      </c>
      <c r="F168" s="42"/>
      <c r="G168" s="42"/>
      <c r="H168" s="42"/>
      <c r="I168" s="42"/>
      <c r="J168" s="42"/>
      <c r="K168" s="42"/>
    </row>
    <row r="169" spans="2:11" s="10" customFormat="1" ht="14.25">
      <c r="B169" s="12">
        <f t="shared" si="85"/>
        <v>-15193.667905748502</v>
      </c>
      <c r="C169" s="42">
        <v>0</v>
      </c>
      <c r="D169" s="42">
        <v>0</v>
      </c>
      <c r="E169" s="42">
        <v>0</v>
      </c>
      <c r="F169" s="42">
        <f>F$113*F$108/1000</f>
        <v>44960.90629006504</v>
      </c>
      <c r="G169" s="42"/>
      <c r="H169" s="42"/>
      <c r="I169" s="42"/>
      <c r="J169" s="42"/>
      <c r="K169" s="42"/>
    </row>
    <row r="170" spans="2:11" s="10" customFormat="1" ht="14.25">
      <c r="B170" s="12">
        <f t="shared" si="85"/>
        <v>-15193.667905748502</v>
      </c>
      <c r="C170" s="42">
        <v>0</v>
      </c>
      <c r="D170" s="42">
        <v>0</v>
      </c>
      <c r="E170" s="42">
        <v>0</v>
      </c>
      <c r="F170" s="42">
        <v>0</v>
      </c>
      <c r="G170" s="42">
        <f>G$113*G$108/1000</f>
        <v>54250.615832611904</v>
      </c>
      <c r="H170" s="42"/>
      <c r="I170" s="42"/>
      <c r="J170" s="42"/>
      <c r="K170" s="42"/>
    </row>
    <row r="171" spans="2:11" s="10" customFormat="1" ht="14.25">
      <c r="B171" s="12">
        <f t="shared" si="85"/>
        <v>-15193.667905748502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f>H$113*H$108/1000</f>
        <v>64950.26812940299</v>
      </c>
      <c r="I171" s="42"/>
      <c r="J171" s="42"/>
      <c r="K171" s="42"/>
    </row>
    <row r="172" spans="2:11" s="10" customFormat="1" ht="14.25">
      <c r="B172" s="12">
        <f t="shared" si="85"/>
        <v>-15193.667905748502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f>I$113*I$108/1000</f>
        <v>75617.0382520224</v>
      </c>
      <c r="J172" s="42"/>
      <c r="K172" s="42"/>
    </row>
    <row r="173" spans="2:11" s="10" customFormat="1" ht="14.25">
      <c r="B173" s="12">
        <f t="shared" si="85"/>
        <v>-15193.667905748502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f>J$113*J$108/1000</f>
        <v>86921.56964212263</v>
      </c>
      <c r="K173" s="42"/>
    </row>
    <row r="174" spans="2:11" s="10" customFormat="1" ht="14.25">
      <c r="B174" s="12">
        <f t="shared" si="85"/>
        <v>-15193.667905748502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f>K$113*K$108/1000</f>
        <v>98898.52290805793</v>
      </c>
    </row>
    <row r="175" spans="2:11" s="10" customFormat="1" ht="14.25">
      <c r="B175" s="1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s="10" customFormat="1" ht="14.25">
      <c r="A176" s="38" t="s">
        <v>88</v>
      </c>
      <c r="C176" s="45">
        <f>XIRR($B166:C166,$B$165:C$165)</f>
        <v>0.4448812663555145</v>
      </c>
      <c r="D176" s="45">
        <f>XIRR($B167:D167,$B$165:D$165)</f>
        <v>0.39392887949943545</v>
      </c>
      <c r="E176" s="45">
        <f>XIRR($B168:E168,$B$165:E$165)</f>
        <v>0.3283941566944123</v>
      </c>
      <c r="F176" s="45">
        <f>XIRR($B169:F169,$B$165:F$165)</f>
        <v>0.31133146882057194</v>
      </c>
      <c r="G176" s="45">
        <f>XIRR($B170:G170,$B$165:G$165)</f>
        <v>0.28969752192497256</v>
      </c>
      <c r="H176" s="45">
        <f>XIRR($B171:H171,$B$165:H$165)</f>
        <v>0.2738111913204193</v>
      </c>
      <c r="I176" s="45">
        <f>XIRR($B172:I172,$B$165:I$165)</f>
        <v>0.2574404180049896</v>
      </c>
      <c r="J176" s="45">
        <f>XIRR($B173:J173,$B$165:J$165)</f>
        <v>0.24342132210731507</v>
      </c>
      <c r="K176" s="45">
        <f>XIRR($B174:K174,$B$165:K$165)</f>
        <v>0.23122354149818422</v>
      </c>
    </row>
    <row r="177" spans="3:11" s="10" customFormat="1" ht="14.25">
      <c r="C177" s="42"/>
      <c r="E177" s="42"/>
      <c r="F177" s="42"/>
      <c r="G177" s="42"/>
      <c r="H177" s="42"/>
      <c r="I177" s="42"/>
      <c r="K177" s="42"/>
    </row>
    <row r="178" spans="1:16" ht="14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ht="14.25">
      <c r="A179" s="26" t="s">
        <v>41</v>
      </c>
    </row>
    <row r="181" ht="14.25">
      <c r="A181" t="s">
        <v>42</v>
      </c>
    </row>
    <row r="182" spans="1:16" ht="14.25">
      <c r="A182" s="4" t="s">
        <v>43</v>
      </c>
      <c r="C182" s="1">
        <f>AVERAGE(B17:C17)*$C$217</f>
        <v>175.00000000000003</v>
      </c>
      <c r="D182" s="1">
        <f aca="true" t="shared" si="86" ref="D182:P182">AVERAGE(C17:D17)*$C$217</f>
        <v>0</v>
      </c>
      <c r="E182" s="1">
        <f t="shared" si="86"/>
        <v>0</v>
      </c>
      <c r="F182" s="1">
        <f t="shared" si="86"/>
        <v>0</v>
      </c>
      <c r="G182" s="1">
        <f t="shared" si="86"/>
        <v>0</v>
      </c>
      <c r="H182" s="1">
        <f t="shared" si="86"/>
        <v>0</v>
      </c>
      <c r="I182" s="1">
        <f t="shared" si="86"/>
        <v>0</v>
      </c>
      <c r="J182" s="1">
        <f t="shared" si="86"/>
        <v>0</v>
      </c>
      <c r="K182" s="1">
        <f t="shared" si="86"/>
        <v>0</v>
      </c>
      <c r="L182" s="1">
        <f t="shared" si="86"/>
        <v>0</v>
      </c>
      <c r="M182" s="1">
        <f t="shared" si="86"/>
        <v>0</v>
      </c>
      <c r="N182" s="1">
        <f t="shared" si="86"/>
        <v>0</v>
      </c>
      <c r="O182" s="1">
        <f t="shared" si="86"/>
        <v>0</v>
      </c>
      <c r="P182" s="1">
        <f t="shared" si="86"/>
        <v>0</v>
      </c>
    </row>
    <row r="183" spans="1:16" ht="14.25">
      <c r="A183" s="4" t="s">
        <v>44</v>
      </c>
      <c r="C183" s="1">
        <f>AVERAGE(B18:C18)*$C$218</f>
        <v>2228.5714285714284</v>
      </c>
      <c r="D183" s="1">
        <f aca="true" t="shared" si="87" ref="D183:P183">AVERAGE(C18:D18)*$C$218</f>
        <v>1885.7142857142858</v>
      </c>
      <c r="E183" s="1">
        <f t="shared" si="87"/>
        <v>1542.8571428571427</v>
      </c>
      <c r="F183" s="1">
        <f t="shared" si="87"/>
        <v>1199.9999999999998</v>
      </c>
      <c r="G183" s="1">
        <f t="shared" si="87"/>
        <v>857.142857142857</v>
      </c>
      <c r="H183" s="1">
        <f t="shared" si="87"/>
        <v>514.2857142857141</v>
      </c>
      <c r="I183" s="1">
        <f t="shared" si="87"/>
        <v>171.42857142857133</v>
      </c>
      <c r="J183" s="1">
        <f t="shared" si="87"/>
        <v>0</v>
      </c>
      <c r="K183" s="1">
        <f t="shared" si="87"/>
        <v>0</v>
      </c>
      <c r="L183" s="1">
        <f t="shared" si="87"/>
        <v>0</v>
      </c>
      <c r="M183" s="1">
        <f t="shared" si="87"/>
        <v>0</v>
      </c>
      <c r="N183" s="1">
        <f t="shared" si="87"/>
        <v>0</v>
      </c>
      <c r="O183" s="1">
        <f t="shared" si="87"/>
        <v>0</v>
      </c>
      <c r="P183" s="1">
        <f t="shared" si="87"/>
        <v>0</v>
      </c>
    </row>
    <row r="184" spans="1:16" ht="14.25">
      <c r="A184" s="4" t="s">
        <v>45</v>
      </c>
      <c r="C184" s="1">
        <f>AVERAGE(B19:C19)*$C$219</f>
        <v>2400</v>
      </c>
      <c r="D184" s="1">
        <f aca="true" t="shared" si="88" ref="D184:P184">AVERAGE(C19:D19)*$C$219</f>
        <v>2400</v>
      </c>
      <c r="E184" s="1">
        <f t="shared" si="88"/>
        <v>2400</v>
      </c>
      <c r="F184" s="1">
        <f t="shared" si="88"/>
        <v>2400</v>
      </c>
      <c r="G184" s="1">
        <f t="shared" si="88"/>
        <v>2400</v>
      </c>
      <c r="H184" s="1">
        <f t="shared" si="88"/>
        <v>2400</v>
      </c>
      <c r="I184" s="1">
        <f t="shared" si="88"/>
        <v>2400</v>
      </c>
      <c r="J184" s="1">
        <f t="shared" si="88"/>
        <v>2160</v>
      </c>
      <c r="K184" s="1">
        <f t="shared" si="88"/>
        <v>1680</v>
      </c>
      <c r="L184" s="1">
        <f t="shared" si="88"/>
        <v>1200</v>
      </c>
      <c r="M184" s="1">
        <f t="shared" si="88"/>
        <v>720</v>
      </c>
      <c r="N184" s="1">
        <f t="shared" si="88"/>
        <v>240</v>
      </c>
      <c r="O184" s="1">
        <f t="shared" si="88"/>
        <v>0</v>
      </c>
      <c r="P184" s="1">
        <f t="shared" si="88"/>
        <v>0</v>
      </c>
    </row>
    <row r="185" spans="1:16" ht="14.25">
      <c r="A185" s="23" t="s">
        <v>46</v>
      </c>
      <c r="C185" s="8">
        <f>SUM(C182:C184)</f>
        <v>4803.571428571428</v>
      </c>
      <c r="D185" s="8">
        <f aca="true" t="shared" si="89" ref="D185:P185">SUM(D182:D184)</f>
        <v>4285.714285714286</v>
      </c>
      <c r="E185" s="8">
        <f t="shared" si="89"/>
        <v>3942.8571428571427</v>
      </c>
      <c r="F185" s="8">
        <f t="shared" si="89"/>
        <v>3600</v>
      </c>
      <c r="G185" s="8">
        <f t="shared" si="89"/>
        <v>3257.142857142857</v>
      </c>
      <c r="H185" s="8">
        <f t="shared" si="89"/>
        <v>2914.285714285714</v>
      </c>
      <c r="I185" s="8">
        <f t="shared" si="89"/>
        <v>2571.4285714285716</v>
      </c>
      <c r="J185" s="8">
        <f t="shared" si="89"/>
        <v>2160</v>
      </c>
      <c r="K185" s="8">
        <f t="shared" si="89"/>
        <v>1680</v>
      </c>
      <c r="L185" s="8">
        <f t="shared" si="89"/>
        <v>1200</v>
      </c>
      <c r="M185" s="8">
        <f t="shared" si="89"/>
        <v>720</v>
      </c>
      <c r="N185" s="8">
        <f t="shared" si="89"/>
        <v>240</v>
      </c>
      <c r="O185" s="8">
        <f t="shared" si="89"/>
        <v>0</v>
      </c>
      <c r="P185" s="8">
        <f t="shared" si="89"/>
        <v>0</v>
      </c>
    </row>
    <row r="187" ht="14.25">
      <c r="A187" s="23" t="s">
        <v>47</v>
      </c>
    </row>
    <row r="188" spans="1:16" ht="14.25">
      <c r="A188" s="5" t="s">
        <v>48</v>
      </c>
      <c r="C188" s="1">
        <f>C34+C38+C42+C43+C44</f>
        <v>1864.2731735282532</v>
      </c>
      <c r="D188" s="1">
        <f aca="true" t="shared" si="90" ref="D188:P188">D34+D38+D42+D43+D44</f>
        <v>2686.9216997234644</v>
      </c>
      <c r="E188" s="1">
        <f t="shared" si="90"/>
        <v>1004.275232610692</v>
      </c>
      <c r="F188" s="1">
        <f t="shared" si="90"/>
        <v>2669.0707499110313</v>
      </c>
      <c r="G188" s="1">
        <f t="shared" si="90"/>
        <v>3399.149608934422</v>
      </c>
      <c r="H188" s="1">
        <f t="shared" si="90"/>
        <v>5112.168535761827</v>
      </c>
      <c r="I188" s="1">
        <f t="shared" si="90"/>
        <v>5955.997217316474</v>
      </c>
      <c r="J188" s="1">
        <f t="shared" si="90"/>
        <v>7166.036684640692</v>
      </c>
      <c r="K188" s="1">
        <f t="shared" si="90"/>
        <v>8172.850568212467</v>
      </c>
      <c r="L188" s="1">
        <f t="shared" si="90"/>
        <v>9218.583353457894</v>
      </c>
      <c r="M188" s="1">
        <f t="shared" si="90"/>
        <v>10305.106501737278</v>
      </c>
      <c r="N188" s="1">
        <f t="shared" si="90"/>
        <v>11434.384561756131</v>
      </c>
      <c r="O188" s="1">
        <f t="shared" si="90"/>
        <v>16465.013555402526</v>
      </c>
      <c r="P188" s="1">
        <f t="shared" si="90"/>
        <v>17398.222820879346</v>
      </c>
    </row>
    <row r="189" spans="1:16" ht="14.25">
      <c r="A189" s="5" t="s">
        <v>49</v>
      </c>
      <c r="C189" s="1">
        <f>C49</f>
        <v>5000</v>
      </c>
      <c r="D189" s="1">
        <f aca="true" t="shared" si="91" ref="D189:P189">D49</f>
        <v>1864.2731735282523</v>
      </c>
      <c r="E189" s="1">
        <f t="shared" si="91"/>
        <v>4551.194873251717</v>
      </c>
      <c r="F189" s="1">
        <f t="shared" si="91"/>
        <v>5555.470105862409</v>
      </c>
      <c r="G189" s="1">
        <f t="shared" si="91"/>
        <v>8224.54085577344</v>
      </c>
      <c r="H189" s="1">
        <f t="shared" si="91"/>
        <v>11623.690464707863</v>
      </c>
      <c r="I189" s="1">
        <f t="shared" si="91"/>
        <v>16735.85900046969</v>
      </c>
      <c r="J189" s="1">
        <f t="shared" si="91"/>
        <v>22691.856217786164</v>
      </c>
      <c r="K189" s="1">
        <f t="shared" si="91"/>
        <v>29857.89290242686</v>
      </c>
      <c r="L189" s="1">
        <f t="shared" si="91"/>
        <v>38030.743470639325</v>
      </c>
      <c r="M189" s="1">
        <f t="shared" si="91"/>
        <v>47249.32682409722</v>
      </c>
      <c r="N189" s="1">
        <f t="shared" si="91"/>
        <v>57554.4333258345</v>
      </c>
      <c r="O189" s="1">
        <f t="shared" si="91"/>
        <v>68988.81788759063</v>
      </c>
      <c r="P189" s="1">
        <f t="shared" si="91"/>
        <v>85453.83144299316</v>
      </c>
    </row>
    <row r="190" spans="1:16" ht="14.25">
      <c r="A190" s="4" t="s">
        <v>50</v>
      </c>
      <c r="C190" s="8">
        <f>SUM(C188:C189)</f>
        <v>6864.273173528253</v>
      </c>
      <c r="D190" s="8">
        <f aca="true" t="shared" si="92" ref="D190:P190">SUM(D188:D189)</f>
        <v>4551.194873251717</v>
      </c>
      <c r="E190" s="8">
        <f t="shared" si="92"/>
        <v>5555.470105862409</v>
      </c>
      <c r="F190" s="8">
        <f t="shared" si="92"/>
        <v>8224.54085577344</v>
      </c>
      <c r="G190" s="8">
        <f t="shared" si="92"/>
        <v>11623.690464707863</v>
      </c>
      <c r="H190" s="8">
        <f t="shared" si="92"/>
        <v>16735.85900046969</v>
      </c>
      <c r="I190" s="8">
        <f t="shared" si="92"/>
        <v>22691.856217786164</v>
      </c>
      <c r="J190" s="8">
        <f t="shared" si="92"/>
        <v>29857.89290242686</v>
      </c>
      <c r="K190" s="8">
        <f t="shared" si="92"/>
        <v>38030.743470639325</v>
      </c>
      <c r="L190" s="8">
        <f t="shared" si="92"/>
        <v>47249.32682409722</v>
      </c>
      <c r="M190" s="8">
        <f t="shared" si="92"/>
        <v>57554.4333258345</v>
      </c>
      <c r="N190" s="8">
        <f t="shared" si="92"/>
        <v>68988.81788759063</v>
      </c>
      <c r="O190" s="8">
        <f t="shared" si="92"/>
        <v>85453.83144299316</v>
      </c>
      <c r="P190" s="8">
        <f t="shared" si="92"/>
        <v>102852.0542638725</v>
      </c>
    </row>
    <row r="191" spans="1:16" ht="14.25">
      <c r="A191" s="5" t="s">
        <v>51</v>
      </c>
      <c r="C191" s="1">
        <f>IF(C190&gt;$C$224,-$C$224,0)</f>
        <v>-1000</v>
      </c>
      <c r="D191" s="1">
        <f aca="true" t="shared" si="93" ref="D191:P191">IF(D190&gt;$C$224,-$C$224,0)</f>
        <v>-1000</v>
      </c>
      <c r="E191" s="1">
        <f t="shared" si="93"/>
        <v>-1000</v>
      </c>
      <c r="F191" s="1">
        <f t="shared" si="93"/>
        <v>-1000</v>
      </c>
      <c r="G191" s="1">
        <f t="shared" si="93"/>
        <v>-1000</v>
      </c>
      <c r="H191" s="1">
        <f t="shared" si="93"/>
        <v>-1000</v>
      </c>
      <c r="I191" s="1">
        <f t="shared" si="93"/>
        <v>-1000</v>
      </c>
      <c r="J191" s="1">
        <f t="shared" si="93"/>
        <v>-1000</v>
      </c>
      <c r="K191" s="1">
        <f t="shared" si="93"/>
        <v>-1000</v>
      </c>
      <c r="L191" s="1">
        <f t="shared" si="93"/>
        <v>-1000</v>
      </c>
      <c r="M191" s="1">
        <f t="shared" si="93"/>
        <v>-1000</v>
      </c>
      <c r="N191" s="1">
        <f t="shared" si="93"/>
        <v>-1000</v>
      </c>
      <c r="O191" s="1">
        <f t="shared" si="93"/>
        <v>-1000</v>
      </c>
      <c r="P191" s="1">
        <f t="shared" si="93"/>
        <v>-1000</v>
      </c>
    </row>
    <row r="192" spans="1:16" ht="14.25">
      <c r="A192" s="4" t="s">
        <v>52</v>
      </c>
      <c r="C192" s="8">
        <f>C190+C191</f>
        <v>5864.273173528253</v>
      </c>
      <c r="D192" s="8">
        <f aca="true" t="shared" si="94" ref="D192:P192">D190+D191</f>
        <v>3551.1948732517167</v>
      </c>
      <c r="E192" s="8">
        <f t="shared" si="94"/>
        <v>4555.470105862409</v>
      </c>
      <c r="F192" s="8">
        <f t="shared" si="94"/>
        <v>7224.540855773441</v>
      </c>
      <c r="G192" s="8">
        <f t="shared" si="94"/>
        <v>10623.690464707863</v>
      </c>
      <c r="H192" s="8">
        <f t="shared" si="94"/>
        <v>15735.859000469689</v>
      </c>
      <c r="I192" s="8">
        <f t="shared" si="94"/>
        <v>21691.856217786164</v>
      </c>
      <c r="J192" s="8">
        <f t="shared" si="94"/>
        <v>28857.89290242686</v>
      </c>
      <c r="K192" s="8">
        <f t="shared" si="94"/>
        <v>37030.743470639325</v>
      </c>
      <c r="L192" s="8">
        <f t="shared" si="94"/>
        <v>46249.32682409722</v>
      </c>
      <c r="M192" s="8">
        <f t="shared" si="94"/>
        <v>56554.4333258345</v>
      </c>
      <c r="N192" s="8">
        <f t="shared" si="94"/>
        <v>67988.81788759063</v>
      </c>
      <c r="O192" s="8">
        <f t="shared" si="94"/>
        <v>84453.83144299316</v>
      </c>
      <c r="P192" s="8">
        <f t="shared" si="94"/>
        <v>101852.0542638725</v>
      </c>
    </row>
    <row r="194" spans="1:16" ht="14.25">
      <c r="A194" s="4" t="s">
        <v>53</v>
      </c>
      <c r="C194" s="1">
        <f>B17</f>
        <v>5000</v>
      </c>
      <c r="D194" s="1">
        <f aca="true" t="shared" si="95" ref="D194:P194">C17</f>
        <v>0</v>
      </c>
      <c r="E194" s="1">
        <f t="shared" si="95"/>
        <v>0</v>
      </c>
      <c r="F194" s="1">
        <f t="shared" si="95"/>
        <v>0</v>
      </c>
      <c r="G194" s="1">
        <f t="shared" si="95"/>
        <v>0</v>
      </c>
      <c r="H194" s="1">
        <f t="shared" si="95"/>
        <v>0</v>
      </c>
      <c r="I194" s="1">
        <f t="shared" si="95"/>
        <v>0</v>
      </c>
      <c r="J194" s="1">
        <f t="shared" si="95"/>
        <v>0</v>
      </c>
      <c r="K194" s="1">
        <f t="shared" si="95"/>
        <v>0</v>
      </c>
      <c r="L194" s="1">
        <f t="shared" si="95"/>
        <v>0</v>
      </c>
      <c r="M194" s="1">
        <f t="shared" si="95"/>
        <v>0</v>
      </c>
      <c r="N194" s="1">
        <f t="shared" si="95"/>
        <v>0</v>
      </c>
      <c r="O194" s="1">
        <f t="shared" si="95"/>
        <v>0</v>
      </c>
      <c r="P194" s="1">
        <f t="shared" si="95"/>
        <v>0</v>
      </c>
    </row>
    <row r="195" spans="1:16" ht="15">
      <c r="A195" s="27" t="s">
        <v>54</v>
      </c>
      <c r="B195" s="2"/>
      <c r="C195" s="19">
        <f>-IF(C192&gt;C194,C194,C192)</f>
        <v>-5000</v>
      </c>
      <c r="D195" s="19">
        <f aca="true" t="shared" si="96" ref="D195:P195">-IF(D192&gt;D194,D194,D192)</f>
        <v>0</v>
      </c>
      <c r="E195" s="19">
        <f t="shared" si="96"/>
        <v>0</v>
      </c>
      <c r="F195" s="19">
        <f t="shared" si="96"/>
        <v>0</v>
      </c>
      <c r="G195" s="19">
        <f t="shared" si="96"/>
        <v>0</v>
      </c>
      <c r="H195" s="19">
        <f t="shared" si="96"/>
        <v>0</v>
      </c>
      <c r="I195" s="19">
        <f t="shared" si="96"/>
        <v>0</v>
      </c>
      <c r="J195" s="19">
        <f t="shared" si="96"/>
        <v>0</v>
      </c>
      <c r="K195" s="19">
        <f t="shared" si="96"/>
        <v>0</v>
      </c>
      <c r="L195" s="19">
        <f t="shared" si="96"/>
        <v>0</v>
      </c>
      <c r="M195" s="19">
        <f t="shared" si="96"/>
        <v>0</v>
      </c>
      <c r="N195" s="19">
        <f t="shared" si="96"/>
        <v>0</v>
      </c>
      <c r="O195" s="19">
        <f t="shared" si="96"/>
        <v>0</v>
      </c>
      <c r="P195" s="19">
        <f t="shared" si="96"/>
        <v>0</v>
      </c>
    </row>
    <row r="198" spans="1:16" ht="14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="10" customFormat="1" ht="14.25">
      <c r="A199" s="28" t="s">
        <v>55</v>
      </c>
    </row>
    <row r="200" s="10" customFormat="1" ht="15">
      <c r="A200" s="29" t="str">
        <f>IF(SUM(C205:P205)+SUM(C209:P209)&gt;0,"Credit Failure")</f>
        <v>Credit Failure</v>
      </c>
    </row>
    <row r="201" s="10" customFormat="1" ht="15">
      <c r="A201" s="29"/>
    </row>
    <row r="202" spans="1:16" s="10" customFormat="1" ht="14.25">
      <c r="A202" s="10" t="s">
        <v>56</v>
      </c>
      <c r="C202" s="12">
        <f>C17</f>
        <v>0</v>
      </c>
      <c r="D202" s="12">
        <f aca="true" t="shared" si="97" ref="D202:P202">D17</f>
        <v>0</v>
      </c>
      <c r="E202" s="12">
        <f t="shared" si="97"/>
        <v>0</v>
      </c>
      <c r="F202" s="12">
        <f t="shared" si="97"/>
        <v>0</v>
      </c>
      <c r="G202" s="12">
        <f t="shared" si="97"/>
        <v>0</v>
      </c>
      <c r="H202" s="12">
        <f t="shared" si="97"/>
        <v>0</v>
      </c>
      <c r="I202" s="12">
        <f t="shared" si="97"/>
        <v>0</v>
      </c>
      <c r="J202" s="12">
        <f t="shared" si="97"/>
        <v>0</v>
      </c>
      <c r="K202" s="12">
        <f t="shared" si="97"/>
        <v>0</v>
      </c>
      <c r="L202" s="12">
        <f t="shared" si="97"/>
        <v>0</v>
      </c>
      <c r="M202" s="12">
        <f t="shared" si="97"/>
        <v>0</v>
      </c>
      <c r="N202" s="12">
        <f t="shared" si="97"/>
        <v>0</v>
      </c>
      <c r="O202" s="12">
        <f t="shared" si="97"/>
        <v>0</v>
      </c>
      <c r="P202" s="12">
        <f t="shared" si="97"/>
        <v>0</v>
      </c>
    </row>
    <row r="203" spans="1:16" s="10" customFormat="1" ht="14.25">
      <c r="A203" s="10" t="s">
        <v>57</v>
      </c>
      <c r="C203" s="12">
        <f>$B$17</f>
        <v>5000</v>
      </c>
      <c r="D203" s="12">
        <f aca="true" t="shared" si="98" ref="D203:P203">$B$17</f>
        <v>5000</v>
      </c>
      <c r="E203" s="12">
        <f t="shared" si="98"/>
        <v>5000</v>
      </c>
      <c r="F203" s="12">
        <f t="shared" si="98"/>
        <v>5000</v>
      </c>
      <c r="G203" s="12">
        <f t="shared" si="98"/>
        <v>5000</v>
      </c>
      <c r="H203" s="12">
        <f t="shared" si="98"/>
        <v>5000</v>
      </c>
      <c r="I203" s="12">
        <f t="shared" si="98"/>
        <v>5000</v>
      </c>
      <c r="J203" s="12">
        <f t="shared" si="98"/>
        <v>5000</v>
      </c>
      <c r="K203" s="12">
        <f t="shared" si="98"/>
        <v>5000</v>
      </c>
      <c r="L203" s="12">
        <f t="shared" si="98"/>
        <v>5000</v>
      </c>
      <c r="M203" s="12">
        <f t="shared" si="98"/>
        <v>5000</v>
      </c>
      <c r="N203" s="12">
        <f t="shared" si="98"/>
        <v>5000</v>
      </c>
      <c r="O203" s="12">
        <f t="shared" si="98"/>
        <v>5000</v>
      </c>
      <c r="P203" s="12">
        <f t="shared" si="98"/>
        <v>5000</v>
      </c>
    </row>
    <row r="204" spans="3:16" s="10" customFormat="1" ht="14.25">
      <c r="C204" s="30">
        <f>IF(C202&gt;C203,"Overdraw","")</f>
      </c>
      <c r="D204" s="30">
        <f aca="true" t="shared" si="99" ref="D204:P204">IF(D202&gt;D203,"Overdraw","")</f>
      </c>
      <c r="E204" s="30">
        <f t="shared" si="99"/>
      </c>
      <c r="F204" s="30">
        <f t="shared" si="99"/>
      </c>
      <c r="G204" s="30">
        <f t="shared" si="99"/>
      </c>
      <c r="H204" s="30">
        <f t="shared" si="99"/>
      </c>
      <c r="I204" s="30">
        <f t="shared" si="99"/>
      </c>
      <c r="J204" s="30">
        <f t="shared" si="99"/>
      </c>
      <c r="K204" s="30">
        <f t="shared" si="99"/>
      </c>
      <c r="L204" s="30">
        <f t="shared" si="99"/>
      </c>
      <c r="M204" s="30">
        <f t="shared" si="99"/>
      </c>
      <c r="N204" s="30">
        <f t="shared" si="99"/>
      </c>
      <c r="O204" s="30">
        <f t="shared" si="99"/>
      </c>
      <c r="P204" s="30">
        <f t="shared" si="99"/>
      </c>
    </row>
    <row r="205" spans="3:16" s="10" customFormat="1" ht="14.25">
      <c r="C205" s="31">
        <f>IF(C204&lt;&gt;"",1,0)</f>
        <v>0</v>
      </c>
      <c r="D205" s="31">
        <f aca="true" t="shared" si="100" ref="D205:P205">IF(D204&lt;&gt;"",1,0)</f>
        <v>0</v>
      </c>
      <c r="E205" s="31">
        <f t="shared" si="100"/>
        <v>0</v>
      </c>
      <c r="F205" s="31">
        <f t="shared" si="100"/>
        <v>0</v>
      </c>
      <c r="G205" s="31">
        <f t="shared" si="100"/>
        <v>0</v>
      </c>
      <c r="H205" s="31">
        <f t="shared" si="100"/>
        <v>0</v>
      </c>
      <c r="I205" s="31">
        <f t="shared" si="100"/>
        <v>0</v>
      </c>
      <c r="J205" s="31">
        <f t="shared" si="100"/>
        <v>0</v>
      </c>
      <c r="K205" s="31">
        <f t="shared" si="100"/>
        <v>0</v>
      </c>
      <c r="L205" s="31">
        <f t="shared" si="100"/>
        <v>0</v>
      </c>
      <c r="M205" s="31">
        <f t="shared" si="100"/>
        <v>0</v>
      </c>
      <c r="N205" s="31">
        <f t="shared" si="100"/>
        <v>0</v>
      </c>
      <c r="O205" s="31">
        <f t="shared" si="100"/>
        <v>0</v>
      </c>
      <c r="P205" s="31">
        <f t="shared" si="100"/>
        <v>0</v>
      </c>
    </row>
    <row r="206" spans="1:16" s="10" customFormat="1" ht="14.25">
      <c r="A206" s="10" t="s">
        <v>58</v>
      </c>
      <c r="C206" s="32">
        <f>C20/C5</f>
        <v>3.0476190476190474</v>
      </c>
      <c r="D206" s="32">
        <f aca="true" t="shared" si="101" ref="D206:P206">D20/D5</f>
        <v>2.630385487528345</v>
      </c>
      <c r="E206" s="32">
        <f t="shared" si="101"/>
        <v>2.9017857142857144</v>
      </c>
      <c r="F206" s="32">
        <f t="shared" si="101"/>
        <v>2.1904761904761902</v>
      </c>
      <c r="G206" s="32">
        <f t="shared" si="101"/>
        <v>1.8140589569160996</v>
      </c>
      <c r="H206" s="32">
        <f t="shared" si="101"/>
        <v>1.349206349206349</v>
      </c>
      <c r="I206" s="32">
        <f t="shared" si="101"/>
        <v>1.0582010582010581</v>
      </c>
      <c r="J206" s="32">
        <f t="shared" si="101"/>
        <v>0.8062484252960443</v>
      </c>
      <c r="K206" s="32">
        <f t="shared" si="101"/>
        <v>0.5758917323543173</v>
      </c>
      <c r="L206" s="32">
        <f t="shared" si="101"/>
        <v>0.36564554435194757</v>
      </c>
      <c r="M206" s="32">
        <f t="shared" si="101"/>
        <v>0.17411692588187977</v>
      </c>
      <c r="N206" s="32">
        <f t="shared" si="101"/>
        <v>0</v>
      </c>
      <c r="O206" s="32">
        <f t="shared" si="101"/>
        <v>0</v>
      </c>
      <c r="P206" s="32">
        <f t="shared" si="101"/>
        <v>0</v>
      </c>
    </row>
    <row r="207" spans="1:16" s="10" customFormat="1" ht="14.25">
      <c r="A207" s="33" t="s">
        <v>59</v>
      </c>
      <c r="B207" s="28"/>
      <c r="C207" s="34">
        <v>2.75</v>
      </c>
      <c r="D207" s="34">
        <v>2.75</v>
      </c>
      <c r="E207" s="34">
        <v>2.75</v>
      </c>
      <c r="F207" s="34">
        <v>2.75</v>
      </c>
      <c r="G207" s="34">
        <v>2.75</v>
      </c>
      <c r="H207" s="34">
        <v>2.75</v>
      </c>
      <c r="I207" s="34">
        <v>2.75</v>
      </c>
      <c r="J207" s="34">
        <v>2.75</v>
      </c>
      <c r="K207" s="34">
        <v>2.75</v>
      </c>
      <c r="L207" s="34">
        <v>2.75</v>
      </c>
      <c r="M207" s="34">
        <v>2.75</v>
      </c>
      <c r="N207" s="34">
        <v>2.75</v>
      </c>
      <c r="O207" s="34">
        <v>2.75</v>
      </c>
      <c r="P207" s="34">
        <v>2.75</v>
      </c>
    </row>
    <row r="208" spans="3:16" s="10" customFormat="1" ht="14.25">
      <c r="C208" s="30" t="str">
        <f>IF(C206&gt;C207,"Bust","")</f>
        <v>Bust</v>
      </c>
      <c r="D208" s="30">
        <f aca="true" t="shared" si="102" ref="D208:P208">IF(D206&gt;D207,"Bust","")</f>
      </c>
      <c r="E208" s="30" t="str">
        <f t="shared" si="102"/>
        <v>Bust</v>
      </c>
      <c r="F208" s="30">
        <f t="shared" si="102"/>
      </c>
      <c r="G208" s="30">
        <f t="shared" si="102"/>
      </c>
      <c r="H208" s="30">
        <f t="shared" si="102"/>
      </c>
      <c r="I208" s="30">
        <f t="shared" si="102"/>
      </c>
      <c r="J208" s="30">
        <f t="shared" si="102"/>
      </c>
      <c r="K208" s="30">
        <f t="shared" si="102"/>
      </c>
      <c r="L208" s="30">
        <f t="shared" si="102"/>
      </c>
      <c r="M208" s="30">
        <f t="shared" si="102"/>
      </c>
      <c r="N208" s="30">
        <f t="shared" si="102"/>
      </c>
      <c r="O208" s="30">
        <f t="shared" si="102"/>
      </c>
      <c r="P208" s="30">
        <f t="shared" si="102"/>
      </c>
    </row>
    <row r="209" spans="3:16" s="10" customFormat="1" ht="14.25">
      <c r="C209" s="31">
        <f>IF(C208&lt;&gt;"",1,0)</f>
        <v>1</v>
      </c>
      <c r="D209" s="31">
        <f aca="true" t="shared" si="103" ref="D209:P209">IF(D208&lt;&gt;"",1,0)</f>
        <v>0</v>
      </c>
      <c r="E209" s="31">
        <f t="shared" si="103"/>
        <v>1</v>
      </c>
      <c r="F209" s="31">
        <f t="shared" si="103"/>
        <v>0</v>
      </c>
      <c r="G209" s="31">
        <f t="shared" si="103"/>
        <v>0</v>
      </c>
      <c r="H209" s="31">
        <f t="shared" si="103"/>
        <v>0</v>
      </c>
      <c r="I209" s="31">
        <f t="shared" si="103"/>
        <v>0</v>
      </c>
      <c r="J209" s="31">
        <f t="shared" si="103"/>
        <v>0</v>
      </c>
      <c r="K209" s="31">
        <f t="shared" si="103"/>
        <v>0</v>
      </c>
      <c r="L209" s="31">
        <f t="shared" si="103"/>
        <v>0</v>
      </c>
      <c r="M209" s="31">
        <f t="shared" si="103"/>
        <v>0</v>
      </c>
      <c r="N209" s="31">
        <f t="shared" si="103"/>
        <v>0</v>
      </c>
      <c r="O209" s="31">
        <f t="shared" si="103"/>
        <v>0</v>
      </c>
      <c r="P209" s="31">
        <f t="shared" si="103"/>
        <v>0</v>
      </c>
    </row>
    <row r="210" s="10" customFormat="1" ht="14.25"/>
    <row r="211" s="10" customFormat="1" ht="14.25"/>
    <row r="212" spans="1:16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2" ht="14.25">
      <c r="A213" s="26" t="s">
        <v>60</v>
      </c>
      <c r="B213" s="26"/>
    </row>
    <row r="214" spans="1:3" ht="14.25">
      <c r="A214" t="s">
        <v>61</v>
      </c>
      <c r="C214" s="35">
        <v>0.35</v>
      </c>
    </row>
    <row r="216" spans="1:3" ht="14.25">
      <c r="A216" t="s">
        <v>62</v>
      </c>
      <c r="C216" s="35">
        <v>0.01</v>
      </c>
    </row>
    <row r="217" spans="1:3" ht="14.25">
      <c r="A217" t="s">
        <v>43</v>
      </c>
      <c r="C217" s="35">
        <v>0.07</v>
      </c>
    </row>
    <row r="218" spans="1:3" ht="14.25">
      <c r="A218" t="s">
        <v>44</v>
      </c>
      <c r="C218" s="35">
        <v>0.08</v>
      </c>
    </row>
    <row r="219" spans="1:3" ht="14.25">
      <c r="A219" t="s">
        <v>45</v>
      </c>
      <c r="C219" s="35">
        <v>0.12</v>
      </c>
    </row>
    <row r="221" spans="1:4" ht="14.25">
      <c r="A221" t="s">
        <v>63</v>
      </c>
      <c r="C221" s="11">
        <v>7</v>
      </c>
      <c r="D221" t="s">
        <v>64</v>
      </c>
    </row>
    <row r="222" spans="1:4" ht="14.25">
      <c r="A222" t="s">
        <v>65</v>
      </c>
      <c r="C222" s="11">
        <v>5</v>
      </c>
      <c r="D222" t="s">
        <v>66</v>
      </c>
    </row>
    <row r="224" spans="1:3" ht="14.25">
      <c r="A224" t="s">
        <v>67</v>
      </c>
      <c r="C224" s="11">
        <v>1000</v>
      </c>
    </row>
    <row r="226" spans="1:16" ht="14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</sheetData>
  <sheetProtection/>
  <printOptions/>
  <pageMargins left="0.7" right="0.7" top="0.75" bottom="0.75" header="0.3" footer="0.3"/>
  <pageSetup horizontalDpi="600" verticalDpi="600" orientation="landscape" scale="50" r:id="rId1"/>
  <headerFooter>
    <oddFooter>&amp;L&amp;F &amp;D &amp;T&amp;R&amp;P &amp;N</oddFooter>
  </headerFooter>
  <rowBreaks count="3" manualBreakCount="3">
    <brk id="52" max="255" man="1"/>
    <brk id="104" max="255" man="1"/>
    <brk id="177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2010-07-26T18:16:52Z</dcterms:created>
  <dcterms:modified xsi:type="dcterms:W3CDTF">2010-09-01T19:24:25Z</dcterms:modified>
  <cp:category/>
  <cp:version/>
  <cp:contentType/>
  <cp:contentStatus/>
</cp:coreProperties>
</file>