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<sst xmlns="http://schemas.openxmlformats.org/spreadsheetml/2006/main" count="113" uniqueCount="102">
  <si>
    <t>Physical Quantity Example</t>
  </si>
  <si>
    <t>Price per foot</t>
  </si>
  <si>
    <t>$/ft</t>
  </si>
  <si>
    <t>Average feet / well</t>
  </si>
  <si>
    <t>ft</t>
  </si>
  <si>
    <t>Feet per day</t>
  </si>
  <si>
    <t>Average days / well</t>
  </si>
  <si>
    <t>Feet per year per rig</t>
  </si>
  <si>
    <t>Mobilization / Demobilization per well</t>
  </si>
  <si>
    <t>days</t>
  </si>
  <si>
    <t>Rig and Well Parameters:</t>
  </si>
  <si>
    <t>Inputs:</t>
  </si>
  <si>
    <t>Starting Rigs in Fleet</t>
  </si>
  <si>
    <t>Revenue Maximum for fleet</t>
  </si>
  <si>
    <t>$ 000s</t>
  </si>
  <si>
    <t>Average wells / year / rig</t>
  </si>
  <si>
    <t>Maintenance / Downtime per year per rig</t>
  </si>
  <si>
    <t>Financial Parameters:</t>
  </si>
  <si>
    <t>Gross Margin</t>
  </si>
  <si>
    <t>SG&amp;A (% of revenue)</t>
  </si>
  <si>
    <t>Tax Rate</t>
  </si>
  <si>
    <t>DSO</t>
  </si>
  <si>
    <t>Model</t>
  </si>
  <si>
    <t>Year:</t>
  </si>
  <si>
    <t>Income Statement</t>
  </si>
  <si>
    <t>Cost of Goods Sold (COGS)</t>
  </si>
  <si>
    <t>Gross Profit</t>
  </si>
  <si>
    <t>Selling, General, &amp; Adminstrative (SG&amp;A) Expenses</t>
  </si>
  <si>
    <t>Total SG&amp;A</t>
  </si>
  <si>
    <t>Operating Profit</t>
  </si>
  <si>
    <t>Interest (Expense)</t>
  </si>
  <si>
    <t>Interest Income</t>
  </si>
  <si>
    <t>Earnings / Profit Before Tax (EBT)</t>
  </si>
  <si>
    <t>Taxes</t>
  </si>
  <si>
    <t>Net Income</t>
  </si>
  <si>
    <t>Balance Sheet</t>
  </si>
  <si>
    <t>Cash</t>
  </si>
  <si>
    <t>Accounts Receivable (A/R)</t>
  </si>
  <si>
    <t>Inventory</t>
  </si>
  <si>
    <t>Current Assets</t>
  </si>
  <si>
    <t>Property, Plant, and Equipment</t>
  </si>
  <si>
    <t>Accumulated Depreciation</t>
  </si>
  <si>
    <t>Property, Plant, and Equipment, Net</t>
  </si>
  <si>
    <t>Total Assets</t>
  </si>
  <si>
    <t>Accounts Payable (A/P)</t>
  </si>
  <si>
    <t>Other</t>
  </si>
  <si>
    <t>Current Liabilities</t>
  </si>
  <si>
    <t>Total Liabilities</t>
  </si>
  <si>
    <t xml:space="preserve">Shareholder's Equity </t>
  </si>
  <si>
    <t>Retained Earnings</t>
  </si>
  <si>
    <t>Total Equity</t>
  </si>
  <si>
    <t>Total Liabilities and Equity</t>
  </si>
  <si>
    <t>Cash Flow</t>
  </si>
  <si>
    <t>Operating Cash Flow:</t>
  </si>
  <si>
    <t>Depreciation</t>
  </si>
  <si>
    <t>Changes in working capital</t>
  </si>
  <si>
    <t>Accounts Receivable</t>
  </si>
  <si>
    <t>Accounts Payable</t>
  </si>
  <si>
    <t>Total Operating Cash Flow</t>
  </si>
  <si>
    <t>Investing Cash Flow:</t>
  </si>
  <si>
    <t>Purchases of PP&amp;E (Capital Expenditures)</t>
  </si>
  <si>
    <t>Total Investing Cash Flow</t>
  </si>
  <si>
    <t>Financing Cash Flow:</t>
  </si>
  <si>
    <t>(Payments To) / Borrowings From Bank</t>
  </si>
  <si>
    <t>Sale of Stock</t>
  </si>
  <si>
    <t>Total Financing Cash Flow</t>
  </si>
  <si>
    <t>Net Cash Flow</t>
  </si>
  <si>
    <t>Cash Beginning of Period</t>
  </si>
  <si>
    <t>Cash End of Period</t>
  </si>
  <si>
    <t>Depreciable life</t>
  </si>
  <si>
    <t>years</t>
  </si>
  <si>
    <t>A/R</t>
  </si>
  <si>
    <t>A/P</t>
  </si>
  <si>
    <t>Debt Amoritzation</t>
  </si>
  <si>
    <t>Interest Rate on Debt</t>
  </si>
  <si>
    <t>Interest Earnings on Cash</t>
  </si>
  <si>
    <t xml:space="preserve">Inventory DSO </t>
  </si>
  <si>
    <t>DCO</t>
  </si>
  <si>
    <t>Years</t>
  </si>
  <si>
    <t>Revenue Maximum per rig</t>
  </si>
  <si>
    <t>Rig cost</t>
  </si>
  <si>
    <t>Mechanics</t>
  </si>
  <si>
    <t>Rig order lead time</t>
  </si>
  <si>
    <t>Fleet</t>
  </si>
  <si>
    <t>Rigs BOY</t>
  </si>
  <si>
    <t>Rigs EOY</t>
  </si>
  <si>
    <t>(1-3) years</t>
  </si>
  <si>
    <t>Actual Rigs added:</t>
  </si>
  <si>
    <t>Actual Revenue</t>
  </si>
  <si>
    <t>Capex:</t>
  </si>
  <si>
    <t>Rigs Ordered:</t>
  </si>
  <si>
    <t>Growth Rate (Target)</t>
  </si>
  <si>
    <t>Number of Rigs needed (Average):</t>
  </si>
  <si>
    <t>Rigs Needed In Service End Next Year</t>
  </si>
  <si>
    <t>Added to service next year</t>
  </si>
  <si>
    <t>1 year lead time</t>
  </si>
  <si>
    <t>2 year lead time</t>
  </si>
  <si>
    <t>Orders in year</t>
  </si>
  <si>
    <t>3 year lead time</t>
  </si>
  <si>
    <t>Current Case Capex:</t>
  </si>
  <si>
    <t>Target Revenue</t>
  </si>
  <si>
    <t>Debt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</si>
</sst>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</numFmts>
  <fonts count="42">
    <font>
      <sz val="11"/>
      <color theme="1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1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33" borderId="0" xfId="0" applyNumberFormat="1" applyFill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9" fontId="0" fillId="33" borderId="0" xfId="0" applyNumberFormat="1" applyFill="1" applyAlignment="1">
      <alignment/>
    </xf>
    <xf numFmtId="38" fontId="41" fillId="0" borderId="0" xfId="0" applyNumberFormat="1" applyFont="1" applyAlignment="1">
      <alignment/>
    </xf>
    <xf numFmtId="0" fontId="0" fillId="0" borderId="0" xfId="0" applyFill="1" applyAlignment="1">
      <alignment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 horizontal="center" wrapText="1"/>
    </xf>
    <xf numFmtId="0" fontId="39" fillId="0" borderId="0" xfId="0" applyFont="1" applyFill="1" applyAlignment="1">
      <alignment/>
    </xf>
    <xf numFmtId="0" fontId="0" fillId="0" borderId="0" xfId="0" applyAlignment="1">
      <alignment horizontal="left" indent="1"/>
    </xf>
    <xf numFmtId="0" fontId="39" fillId="0" borderId="0" xfId="0" applyFont="1" applyAlignment="1">
      <alignment horizontal="left" indent="1"/>
    </xf>
    <xf numFmtId="38" fontId="39" fillId="0" borderId="11" xfId="0" applyNumberFormat="1" applyFont="1" applyBorder="1" applyAlignment="1">
      <alignment/>
    </xf>
    <xf numFmtId="9" fontId="0" fillId="0" borderId="0" xfId="57" applyFont="1" applyAlignment="1">
      <alignment/>
    </xf>
    <xf numFmtId="0" fontId="0" fillId="0" borderId="0" xfId="0" applyAlignment="1">
      <alignment horizontal="left" indent="2"/>
    </xf>
    <xf numFmtId="38" fontId="0" fillId="0" borderId="0" xfId="0" applyNumberFormat="1" applyFont="1" applyAlignment="1">
      <alignment/>
    </xf>
    <xf numFmtId="38" fontId="0" fillId="0" borderId="0" xfId="0" applyNumberFormat="1" applyFont="1" applyFill="1" applyAlignment="1">
      <alignment/>
    </xf>
    <xf numFmtId="38" fontId="0" fillId="0" borderId="11" xfId="0" applyNumberFormat="1" applyFont="1" applyBorder="1" applyAlignment="1">
      <alignment/>
    </xf>
    <xf numFmtId="38" fontId="39" fillId="0" borderId="0" xfId="0" applyNumberFormat="1" applyFont="1" applyAlignment="1">
      <alignment/>
    </xf>
    <xf numFmtId="38" fontId="39" fillId="0" borderId="12" xfId="0" applyNumberFormat="1" applyFont="1" applyBorder="1" applyAlignment="1">
      <alignment/>
    </xf>
    <xf numFmtId="38" fontId="0" fillId="34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0" fillId="0" borderId="11" xfId="0" applyNumberFormat="1" applyBorder="1" applyAlignment="1">
      <alignment/>
    </xf>
    <xf numFmtId="38" fontId="40" fillId="0" borderId="0" xfId="0" applyNumberFormat="1" applyFont="1" applyBorder="1" applyAlignment="1">
      <alignment/>
    </xf>
    <xf numFmtId="0" fontId="0" fillId="0" borderId="0" xfId="0" applyAlignment="1">
      <alignment horizontal="left" indent="3"/>
    </xf>
    <xf numFmtId="38" fontId="0" fillId="33" borderId="0" xfId="0" applyNumberFormat="1" applyFill="1" applyAlignment="1">
      <alignment horizontal="left" indent="2"/>
    </xf>
    <xf numFmtId="38" fontId="0" fillId="0" borderId="0" xfId="0" applyNumberFormat="1" applyBorder="1" applyAlignment="1">
      <alignment/>
    </xf>
    <xf numFmtId="38" fontId="39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35" borderId="0" xfId="0" applyFill="1" applyAlignment="1">
      <alignment/>
    </xf>
    <xf numFmtId="0" fontId="0" fillId="34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38" fontId="41" fillId="0" borderId="0" xfId="0" applyNumberFormat="1" applyFont="1" applyFill="1" applyAlignment="1">
      <alignment/>
    </xf>
    <xf numFmtId="165" fontId="0" fillId="0" borderId="0" xfId="42" applyNumberFormat="1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43" fontId="0" fillId="36" borderId="0" xfId="0" applyNumberFormat="1" applyFill="1" applyBorder="1" applyAlignment="1">
      <alignment horizontal="center"/>
    </xf>
    <xf numFmtId="0" fontId="41" fillId="0" borderId="0" xfId="0" applyFont="1" applyAlignment="1">
      <alignment horizontal="left" indent="1"/>
    </xf>
    <xf numFmtId="0" fontId="41" fillId="0" borderId="0" xfId="0" applyFont="1" applyAlignment="1">
      <alignment horizontal="left"/>
    </xf>
    <xf numFmtId="0" fontId="0" fillId="35" borderId="0" xfId="0" applyFill="1" applyBorder="1" applyAlignment="1">
      <alignment horizontal="center"/>
    </xf>
    <xf numFmtId="43" fontId="0" fillId="0" borderId="0" xfId="0" applyNumberFormat="1" applyAlignment="1">
      <alignment/>
    </xf>
    <xf numFmtId="38" fontId="0" fillId="16" borderId="0" xfId="0" applyNumberFormat="1" applyFill="1" applyAlignment="1">
      <alignment/>
    </xf>
    <xf numFmtId="166" fontId="0" fillId="0" borderId="11" xfId="42" applyNumberFormat="1" applyFont="1" applyFill="1" applyBorder="1" applyAlignment="1">
      <alignment horizontal="center"/>
    </xf>
    <xf numFmtId="38" fontId="0" fillId="37" borderId="0" xfId="0" applyNumberFormat="1" applyFill="1" applyAlignment="1">
      <alignment/>
    </xf>
    <xf numFmtId="165" fontId="0" fillId="0" borderId="0" xfId="0" applyNumberFormat="1" applyBorder="1" applyAlignment="1">
      <alignment horizontal="center"/>
    </xf>
    <xf numFmtId="166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4.75390625" style="0" customWidth="1"/>
    <col min="2" max="2" width="11.50390625" style="0" bestFit="1" customWidth="1"/>
    <col min="4" max="4" width="11.00390625" style="0" customWidth="1"/>
    <col min="5" max="5" width="10.375" style="0" customWidth="1"/>
    <col min="13" max="13" width="9.25390625" style="0" customWidth="1"/>
  </cols>
  <sheetData>
    <row r="1" ht="14.25">
      <c r="A1" s="2" t="s">
        <v>0</v>
      </c>
    </row>
    <row r="2" ht="14.25">
      <c r="A2" s="6" t="s">
        <v>14</v>
      </c>
    </row>
    <row r="3" ht="14.25">
      <c r="A3" s="6"/>
    </row>
    <row r="4" spans="1:10" ht="14.25">
      <c r="A4" s="13" t="s">
        <v>11</v>
      </c>
      <c r="B4" s="14"/>
      <c r="C4" s="14"/>
      <c r="D4" s="14"/>
      <c r="E4" s="14"/>
      <c r="F4" s="14"/>
      <c r="G4" s="14"/>
      <c r="H4" s="14"/>
      <c r="I4" s="14"/>
      <c r="J4" s="14"/>
    </row>
    <row r="5" ht="14.25">
      <c r="E5" s="4"/>
    </row>
    <row r="6" spans="1:10" ht="15" thickBot="1">
      <c r="A6" s="11" t="s">
        <v>10</v>
      </c>
      <c r="B6" s="12"/>
      <c r="C6" s="12"/>
      <c r="D6" s="12"/>
      <c r="E6" s="12"/>
      <c r="F6" s="12"/>
      <c r="G6" s="12"/>
      <c r="H6" s="12"/>
      <c r="I6" s="12"/>
      <c r="J6" s="12"/>
    </row>
    <row r="7" spans="1:4" ht="14.25">
      <c r="A7" t="s">
        <v>1</v>
      </c>
      <c r="B7" s="5">
        <v>500</v>
      </c>
      <c r="C7" t="s">
        <v>2</v>
      </c>
      <c r="D7" s="3"/>
    </row>
    <row r="8" spans="1:4" ht="14.25">
      <c r="A8" t="s">
        <v>3</v>
      </c>
      <c r="B8" s="5">
        <v>4500</v>
      </c>
      <c r="C8" t="s">
        <v>4</v>
      </c>
      <c r="D8" s="4"/>
    </row>
    <row r="9" spans="1:3" ht="14.25">
      <c r="A9" t="s">
        <v>5</v>
      </c>
      <c r="B9" s="5">
        <v>150</v>
      </c>
      <c r="C9" t="s">
        <v>4</v>
      </c>
    </row>
    <row r="10" spans="1:3" ht="14.25">
      <c r="A10" t="s">
        <v>8</v>
      </c>
      <c r="B10" s="5">
        <v>2</v>
      </c>
      <c r="C10" t="s">
        <v>9</v>
      </c>
    </row>
    <row r="11" spans="1:3" ht="14.25">
      <c r="A11" t="s">
        <v>16</v>
      </c>
      <c r="B11" s="5">
        <v>15</v>
      </c>
      <c r="C11" t="s">
        <v>9</v>
      </c>
    </row>
    <row r="12" spans="1:5" ht="14.25">
      <c r="A12" t="s">
        <v>80</v>
      </c>
      <c r="B12" s="5">
        <f>15000000/1000</f>
        <v>15000</v>
      </c>
      <c r="C12" s="16" t="s">
        <v>14</v>
      </c>
      <c r="E12" s="6"/>
    </row>
    <row r="13" spans="1:5" ht="14.25">
      <c r="A13" t="s">
        <v>82</v>
      </c>
      <c r="B13" s="5">
        <v>1</v>
      </c>
      <c r="C13" t="s">
        <v>86</v>
      </c>
      <c r="E13" s="6"/>
    </row>
    <row r="14" spans="2:5" ht="14.25">
      <c r="B14" s="31"/>
      <c r="E14" s="6"/>
    </row>
    <row r="15" spans="1:6" ht="14.25">
      <c r="A15" s="6" t="s">
        <v>6</v>
      </c>
      <c r="B15" s="7">
        <f>B8/B9+B10</f>
        <v>32</v>
      </c>
      <c r="E15" s="20"/>
      <c r="F15" s="20"/>
    </row>
    <row r="16" spans="1:6" ht="14.25">
      <c r="A16" s="6" t="s">
        <v>15</v>
      </c>
      <c r="B16" s="7">
        <f>(365-B11)/B15</f>
        <v>10.9375</v>
      </c>
      <c r="E16" s="20"/>
      <c r="F16" s="20"/>
    </row>
    <row r="17" spans="1:2" ht="14.25">
      <c r="A17" s="6" t="s">
        <v>7</v>
      </c>
      <c r="B17" s="4">
        <f>B16*B8</f>
        <v>49218.75</v>
      </c>
    </row>
    <row r="18" spans="1:6" ht="14.25">
      <c r="A18" s="6" t="s">
        <v>79</v>
      </c>
      <c r="B18" s="4">
        <f>B17*B7/1000</f>
        <v>24609.375</v>
      </c>
      <c r="E18" s="20"/>
      <c r="F18" s="20"/>
    </row>
    <row r="19" spans="1:6" ht="14.25">
      <c r="A19" s="6"/>
      <c r="B19" s="4"/>
      <c r="E19" s="20"/>
      <c r="F19" s="20"/>
    </row>
    <row r="20" spans="1:6" ht="14.25">
      <c r="A20" s="16" t="s">
        <v>12</v>
      </c>
      <c r="B20" s="15">
        <v>5</v>
      </c>
      <c r="E20" s="20"/>
      <c r="F20" s="20"/>
    </row>
    <row r="21" spans="1:2" ht="14.25">
      <c r="A21" s="6" t="s">
        <v>13</v>
      </c>
      <c r="B21" s="9">
        <f>B20*B17*B7/1000</f>
        <v>123046.875</v>
      </c>
    </row>
    <row r="23" spans="1:10" ht="15" thickBot="1">
      <c r="A23" s="11" t="s">
        <v>17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5" ht="14.25">
      <c r="A24" t="s">
        <v>91</v>
      </c>
      <c r="B24" s="8">
        <v>0.2</v>
      </c>
      <c r="E24" s="20"/>
    </row>
    <row r="25" spans="1:5" ht="14.25">
      <c r="A25" t="s">
        <v>18</v>
      </c>
      <c r="B25" s="8">
        <v>0.3</v>
      </c>
      <c r="E25" s="24"/>
    </row>
    <row r="26" spans="1:5" ht="14.25">
      <c r="A26" t="s">
        <v>19</v>
      </c>
      <c r="B26" s="8">
        <v>0.1</v>
      </c>
      <c r="E26" s="24"/>
    </row>
    <row r="27" spans="1:2" ht="14.25">
      <c r="A27" t="s">
        <v>20</v>
      </c>
      <c r="B27" s="8">
        <v>0.35</v>
      </c>
    </row>
    <row r="29" spans="1:8" ht="14.25">
      <c r="A29" t="s">
        <v>71</v>
      </c>
      <c r="B29" s="5">
        <v>45</v>
      </c>
      <c r="C29" t="s">
        <v>21</v>
      </c>
      <c r="D29" s="20" t="s">
        <v>73</v>
      </c>
      <c r="G29" s="15">
        <v>7</v>
      </c>
      <c r="H29" t="s">
        <v>70</v>
      </c>
    </row>
    <row r="30" spans="1:7" ht="14.25">
      <c r="A30" t="s">
        <v>72</v>
      </c>
      <c r="B30" s="5">
        <v>35</v>
      </c>
      <c r="C30" t="s">
        <v>77</v>
      </c>
      <c r="D30" s="20" t="s">
        <v>74</v>
      </c>
      <c r="G30" s="8">
        <v>0.08</v>
      </c>
    </row>
    <row r="31" spans="1:7" ht="14.25">
      <c r="A31" s="38" t="s">
        <v>69</v>
      </c>
      <c r="B31" s="5">
        <v>15</v>
      </c>
      <c r="C31" t="s">
        <v>78</v>
      </c>
      <c r="D31" s="20" t="s">
        <v>75</v>
      </c>
      <c r="G31" s="8">
        <v>0.01</v>
      </c>
    </row>
    <row r="32" spans="1:3" ht="14.25">
      <c r="A32" s="38" t="s">
        <v>76</v>
      </c>
      <c r="B32" s="15">
        <v>5</v>
      </c>
      <c r="C32" t="s">
        <v>21</v>
      </c>
    </row>
    <row r="33" spans="1:10" ht="14.25">
      <c r="A33" s="40"/>
      <c r="B33" s="14"/>
      <c r="C33" s="14"/>
      <c r="D33" s="14"/>
      <c r="E33" s="14"/>
      <c r="F33" s="14"/>
      <c r="G33" s="14"/>
      <c r="H33" s="14"/>
      <c r="I33" s="14"/>
      <c r="J33" s="14"/>
    </row>
    <row r="34" spans="1:4" ht="15">
      <c r="A34" s="1"/>
      <c r="D34" s="6" t="s">
        <v>22</v>
      </c>
    </row>
    <row r="35" spans="1:10" ht="15">
      <c r="A35" s="1"/>
      <c r="C35" s="42">
        <v>0</v>
      </c>
      <c r="D35" s="42">
        <v>1</v>
      </c>
      <c r="E35" s="42">
        <v>2</v>
      </c>
      <c r="F35" s="42">
        <v>3</v>
      </c>
      <c r="G35" s="42">
        <v>4</v>
      </c>
      <c r="H35" s="42">
        <v>5</v>
      </c>
      <c r="I35" s="42">
        <v>6</v>
      </c>
      <c r="J35" s="42">
        <v>7</v>
      </c>
    </row>
    <row r="36" spans="1:10" ht="15" thickBot="1">
      <c r="A36" t="s">
        <v>23</v>
      </c>
      <c r="C36" s="17">
        <v>2010</v>
      </c>
      <c r="D36" s="17">
        <v>2011</v>
      </c>
      <c r="E36" s="17">
        <v>2012</v>
      </c>
      <c r="F36" s="17">
        <v>2013</v>
      </c>
      <c r="G36" s="17">
        <v>2014</v>
      </c>
      <c r="H36" s="17">
        <v>2015</v>
      </c>
      <c r="I36" s="17">
        <v>2016</v>
      </c>
      <c r="J36" s="17">
        <v>2017</v>
      </c>
    </row>
    <row r="37" spans="1:10" ht="14.25">
      <c r="A37" s="14"/>
      <c r="B37" s="14"/>
      <c r="C37" s="18"/>
      <c r="D37" s="14"/>
      <c r="E37" s="14"/>
      <c r="F37" s="14"/>
      <c r="G37" s="14"/>
      <c r="H37" s="14"/>
      <c r="I37" s="14"/>
      <c r="J37" s="14"/>
    </row>
    <row r="38" spans="1:8" ht="14.25">
      <c r="A38" s="2" t="s">
        <v>81</v>
      </c>
      <c r="C38" s="41"/>
      <c r="D38" s="41"/>
      <c r="E38" s="41"/>
      <c r="F38" s="41"/>
      <c r="G38" s="41"/>
      <c r="H38" s="41"/>
    </row>
    <row r="39" spans="1:8" ht="14.25">
      <c r="A39" s="2"/>
      <c r="C39" s="41"/>
      <c r="D39" s="41"/>
      <c r="E39" s="41"/>
      <c r="F39" s="41"/>
      <c r="G39" s="41"/>
      <c r="H39" s="41"/>
    </row>
    <row r="40" spans="1:10" ht="14.25">
      <c r="A40" t="s">
        <v>92</v>
      </c>
      <c r="C40" s="50">
        <f aca="true" t="shared" si="0" ref="C40:J40">C63/$B$18</f>
        <v>4.063492063492063</v>
      </c>
      <c r="D40" s="50">
        <f t="shared" si="0"/>
        <v>4.876190476190477</v>
      </c>
      <c r="E40" s="50">
        <f t="shared" si="0"/>
        <v>5.851428571428571</v>
      </c>
      <c r="F40" s="50">
        <f t="shared" si="0"/>
        <v>7.021714285714285</v>
      </c>
      <c r="G40" s="50">
        <f t="shared" si="0"/>
        <v>8.426057142857143</v>
      </c>
      <c r="H40" s="50">
        <f t="shared" si="0"/>
        <v>10.111268571428571</v>
      </c>
      <c r="I40" s="50">
        <f t="shared" si="0"/>
        <v>12.133522285714283</v>
      </c>
      <c r="J40" s="50">
        <f t="shared" si="0"/>
        <v>14.560226742857141</v>
      </c>
    </row>
    <row r="41" spans="1:8" ht="14.25">
      <c r="A41" s="2"/>
      <c r="C41" s="41"/>
      <c r="D41" s="41"/>
      <c r="E41" s="41"/>
      <c r="F41" s="41"/>
      <c r="G41" s="41"/>
      <c r="H41" s="41"/>
    </row>
    <row r="42" spans="1:10" ht="14.25">
      <c r="A42" s="20" t="s">
        <v>93</v>
      </c>
      <c r="C42" s="41"/>
      <c r="D42" s="60">
        <f aca="true" t="shared" si="1" ref="D42:I42">ROUNDUP(E40*2-D53,0)</f>
        <v>7</v>
      </c>
      <c r="E42" s="60">
        <f t="shared" si="1"/>
        <v>8</v>
      </c>
      <c r="F42" s="60">
        <f t="shared" si="1"/>
        <v>9</v>
      </c>
      <c r="G42" s="60">
        <f t="shared" si="1"/>
        <v>12</v>
      </c>
      <c r="H42" s="60">
        <f t="shared" si="1"/>
        <v>13</v>
      </c>
      <c r="I42" s="60">
        <f t="shared" si="1"/>
        <v>17</v>
      </c>
      <c r="J42" s="52"/>
    </row>
    <row r="43" spans="1:10" ht="14.25">
      <c r="A43" s="20" t="s">
        <v>94</v>
      </c>
      <c r="C43" s="41"/>
      <c r="D43" s="60">
        <f aca="true" t="shared" si="2" ref="D43:I43">IF(D42-D53&gt;0,D42-D53,0)</f>
        <v>2</v>
      </c>
      <c r="E43" s="60">
        <f t="shared" si="2"/>
        <v>1</v>
      </c>
      <c r="F43" s="60">
        <f t="shared" si="2"/>
        <v>1</v>
      </c>
      <c r="G43" s="60">
        <f t="shared" si="2"/>
        <v>3</v>
      </c>
      <c r="H43" s="60">
        <f t="shared" si="2"/>
        <v>1</v>
      </c>
      <c r="I43" s="60">
        <f t="shared" si="2"/>
        <v>4</v>
      </c>
      <c r="J43" s="52"/>
    </row>
    <row r="44" spans="1:8" ht="14.25">
      <c r="A44" s="2"/>
      <c r="C44" s="41"/>
      <c r="D44" s="41"/>
      <c r="E44" s="41"/>
      <c r="F44" s="41"/>
      <c r="G44" s="41"/>
      <c r="H44" s="41"/>
    </row>
    <row r="45" spans="1:8" ht="14.25">
      <c r="A45" s="54" t="s">
        <v>97</v>
      </c>
      <c r="C45" s="41"/>
      <c r="D45" s="41"/>
      <c r="E45" s="41"/>
      <c r="F45" s="41"/>
      <c r="G45" s="41"/>
      <c r="H45" s="41"/>
    </row>
    <row r="46" spans="1:10" ht="14.25">
      <c r="A46" s="53" t="s">
        <v>95</v>
      </c>
      <c r="B46" s="39"/>
      <c r="C46" s="55"/>
      <c r="D46" s="51">
        <f>D43</f>
        <v>2</v>
      </c>
      <c r="E46" s="51">
        <f aca="true" t="shared" si="3" ref="E46:J46">E43</f>
        <v>1</v>
      </c>
      <c r="F46" s="51">
        <f t="shared" si="3"/>
        <v>1</v>
      </c>
      <c r="G46" s="51">
        <f t="shared" si="3"/>
        <v>3</v>
      </c>
      <c r="H46" s="51">
        <f t="shared" si="3"/>
        <v>1</v>
      </c>
      <c r="I46" s="51">
        <f t="shared" si="3"/>
        <v>4</v>
      </c>
      <c r="J46" s="51">
        <f t="shared" si="3"/>
        <v>0</v>
      </c>
    </row>
    <row r="47" spans="1:10" ht="14.25">
      <c r="A47" s="53" t="s">
        <v>96</v>
      </c>
      <c r="B47" s="39"/>
      <c r="C47" s="55"/>
      <c r="D47" s="51">
        <f>E43</f>
        <v>1</v>
      </c>
      <c r="E47" s="51">
        <f aca="true" t="shared" si="4" ref="E47:J47">F43</f>
        <v>1</v>
      </c>
      <c r="F47" s="51">
        <f t="shared" si="4"/>
        <v>3</v>
      </c>
      <c r="G47" s="51">
        <f t="shared" si="4"/>
        <v>1</v>
      </c>
      <c r="H47" s="51">
        <f t="shared" si="4"/>
        <v>4</v>
      </c>
      <c r="I47" s="51">
        <f t="shared" si="4"/>
        <v>0</v>
      </c>
      <c r="J47" s="51">
        <f t="shared" si="4"/>
        <v>0</v>
      </c>
    </row>
    <row r="48" spans="1:10" ht="14.25">
      <c r="A48" s="53" t="s">
        <v>98</v>
      </c>
      <c r="B48" s="39"/>
      <c r="C48" s="39"/>
      <c r="D48" s="56">
        <f>F43</f>
        <v>1</v>
      </c>
      <c r="E48" s="56">
        <f aca="true" t="shared" si="5" ref="E48:J48">G43</f>
        <v>3</v>
      </c>
      <c r="F48" s="56">
        <f t="shared" si="5"/>
        <v>1</v>
      </c>
      <c r="G48" s="56">
        <f t="shared" si="5"/>
        <v>4</v>
      </c>
      <c r="H48" s="56">
        <f t="shared" si="5"/>
        <v>0</v>
      </c>
      <c r="I48" s="56">
        <f t="shared" si="5"/>
        <v>0</v>
      </c>
      <c r="J48" s="56">
        <f t="shared" si="5"/>
        <v>0</v>
      </c>
    </row>
    <row r="49" spans="1:10" ht="14.25">
      <c r="A49" s="20"/>
      <c r="C49" s="41"/>
      <c r="D49" s="44"/>
      <c r="E49" s="41"/>
      <c r="F49" s="41"/>
      <c r="G49" s="41"/>
      <c r="H49" s="41"/>
      <c r="I49" s="41"/>
      <c r="J49" s="41"/>
    </row>
    <row r="50" spans="1:10" ht="14.25">
      <c r="A50" t="s">
        <v>83</v>
      </c>
      <c r="D50" s="41"/>
      <c r="E50" s="41"/>
      <c r="F50" s="41"/>
      <c r="G50" s="41"/>
      <c r="H50" s="41"/>
      <c r="I50" s="41"/>
      <c r="J50" s="41"/>
    </row>
    <row r="51" spans="1:10" ht="14.25">
      <c r="A51" s="20" t="s">
        <v>84</v>
      </c>
      <c r="C51" s="41">
        <f>B20</f>
        <v>5</v>
      </c>
      <c r="D51" s="41">
        <f aca="true" t="shared" si="6" ref="D51:J51">C53</f>
        <v>5</v>
      </c>
      <c r="E51" s="41">
        <f t="shared" si="6"/>
        <v>5</v>
      </c>
      <c r="F51" s="41">
        <f t="shared" si="6"/>
        <v>7</v>
      </c>
      <c r="G51" s="41">
        <f t="shared" si="6"/>
        <v>8</v>
      </c>
      <c r="H51" s="41">
        <f t="shared" si="6"/>
        <v>9</v>
      </c>
      <c r="I51" s="41">
        <f t="shared" si="6"/>
        <v>12</v>
      </c>
      <c r="J51" s="41">
        <f t="shared" si="6"/>
        <v>13</v>
      </c>
    </row>
    <row r="52" spans="1:10" ht="14.25">
      <c r="A52" s="24" t="s">
        <v>87</v>
      </c>
      <c r="D52" s="45">
        <v>0</v>
      </c>
      <c r="E52" s="46">
        <f aca="true" t="shared" si="7" ref="E52:J52">CHOOSE($B$13,D46,C47,B48)</f>
        <v>2</v>
      </c>
      <c r="F52" s="46">
        <f t="shared" si="7"/>
        <v>1</v>
      </c>
      <c r="G52" s="46">
        <f t="shared" si="7"/>
        <v>1</v>
      </c>
      <c r="H52" s="46">
        <f t="shared" si="7"/>
        <v>3</v>
      </c>
      <c r="I52" s="46">
        <f t="shared" si="7"/>
        <v>1</v>
      </c>
      <c r="J52" s="46">
        <f t="shared" si="7"/>
        <v>4</v>
      </c>
    </row>
    <row r="53" spans="1:10" ht="14.25">
      <c r="A53" s="20" t="s">
        <v>85</v>
      </c>
      <c r="C53" s="43">
        <f>C52+C51</f>
        <v>5</v>
      </c>
      <c r="D53" s="43">
        <f aca="true" t="shared" si="8" ref="D53:J53">D52+D51</f>
        <v>5</v>
      </c>
      <c r="E53" s="43">
        <f t="shared" si="8"/>
        <v>7</v>
      </c>
      <c r="F53" s="43">
        <f t="shared" si="8"/>
        <v>8</v>
      </c>
      <c r="G53" s="43">
        <f t="shared" si="8"/>
        <v>9</v>
      </c>
      <c r="H53" s="43">
        <f t="shared" si="8"/>
        <v>12</v>
      </c>
      <c r="I53" s="43">
        <f t="shared" si="8"/>
        <v>13</v>
      </c>
      <c r="J53" s="43">
        <f t="shared" si="8"/>
        <v>17</v>
      </c>
    </row>
    <row r="54" spans="1:8" ht="14.25">
      <c r="A54" s="20" t="s">
        <v>90</v>
      </c>
      <c r="C54" s="41"/>
      <c r="D54" s="41"/>
      <c r="E54" s="41"/>
      <c r="F54" s="41"/>
      <c r="G54" s="41"/>
      <c r="H54" s="41"/>
    </row>
    <row r="55" spans="1:8" ht="14.25">
      <c r="A55" s="20"/>
      <c r="C55" s="41"/>
      <c r="D55" s="41"/>
      <c r="E55" s="41"/>
      <c r="F55" s="41"/>
      <c r="G55" s="41"/>
      <c r="H55" s="41"/>
    </row>
    <row r="56" spans="1:13" ht="14.25">
      <c r="A56" t="s">
        <v>89</v>
      </c>
      <c r="B56" s="10"/>
      <c r="C56" s="48"/>
      <c r="D56" s="47"/>
      <c r="E56" s="41"/>
      <c r="F56" s="41"/>
      <c r="G56" s="41"/>
      <c r="H56" s="41"/>
      <c r="I56" s="41"/>
      <c r="J56" s="41"/>
      <c r="M56" s="61"/>
    </row>
    <row r="57" spans="1:10" ht="14.25">
      <c r="A57" s="53" t="s">
        <v>95</v>
      </c>
      <c r="B57" s="10"/>
      <c r="C57" s="44"/>
      <c r="D57" s="4">
        <f>(C46+D46)/2*$B$12</f>
        <v>15000</v>
      </c>
      <c r="E57" s="4">
        <f aca="true" t="shared" si="9" ref="E57:J57">(D46+E46)/2*$B$12</f>
        <v>22500</v>
      </c>
      <c r="F57" s="4">
        <f t="shared" si="9"/>
        <v>15000</v>
      </c>
      <c r="G57" s="4">
        <f t="shared" si="9"/>
        <v>30000</v>
      </c>
      <c r="H57" s="4">
        <f t="shared" si="9"/>
        <v>30000</v>
      </c>
      <c r="I57" s="4">
        <f t="shared" si="9"/>
        <v>37500</v>
      </c>
      <c r="J57" s="4">
        <f t="shared" si="9"/>
        <v>30000</v>
      </c>
    </row>
    <row r="58" spans="1:10" ht="14.25">
      <c r="A58" s="53" t="s">
        <v>96</v>
      </c>
      <c r="B58" s="10"/>
      <c r="C58" s="44"/>
      <c r="D58" s="4">
        <f aca="true" t="shared" si="10" ref="D58:J58">(C47+D47+B47)/3*$B$12</f>
        <v>5000</v>
      </c>
      <c r="E58" s="4">
        <f t="shared" si="10"/>
        <v>10000</v>
      </c>
      <c r="F58" s="4">
        <f t="shared" si="10"/>
        <v>25000</v>
      </c>
      <c r="G58" s="4">
        <f t="shared" si="10"/>
        <v>25000</v>
      </c>
      <c r="H58" s="4">
        <f t="shared" si="10"/>
        <v>40000</v>
      </c>
      <c r="I58" s="4">
        <f t="shared" si="10"/>
        <v>25000</v>
      </c>
      <c r="J58" s="4">
        <f t="shared" si="10"/>
        <v>20000</v>
      </c>
    </row>
    <row r="59" spans="1:10" ht="14.25">
      <c r="A59" s="53" t="s">
        <v>98</v>
      </c>
      <c r="B59" s="10"/>
      <c r="C59" s="44"/>
      <c r="D59" s="57">
        <f>(C48+D48+B48+0)/4*$B$12</f>
        <v>3750</v>
      </c>
      <c r="E59" s="4">
        <f aca="true" t="shared" si="11" ref="E59:J59">(D48+E48+C48+B48)/4*$B$12</f>
        <v>15000</v>
      </c>
      <c r="F59" s="4">
        <f t="shared" si="11"/>
        <v>18750</v>
      </c>
      <c r="G59" s="4">
        <f t="shared" si="11"/>
        <v>33750</v>
      </c>
      <c r="H59" s="4">
        <f t="shared" si="11"/>
        <v>30000</v>
      </c>
      <c r="I59" s="4">
        <f t="shared" si="11"/>
        <v>18750</v>
      </c>
      <c r="J59" s="4">
        <f t="shared" si="11"/>
        <v>15000</v>
      </c>
    </row>
    <row r="60" spans="1:10" ht="14.25">
      <c r="A60" s="53"/>
      <c r="B60" s="10"/>
      <c r="C60" s="44"/>
      <c r="D60" s="31"/>
      <c r="E60" s="4"/>
      <c r="F60" s="4"/>
      <c r="G60" s="4"/>
      <c r="H60" s="4"/>
      <c r="I60" s="4"/>
      <c r="J60" s="4"/>
    </row>
    <row r="61" spans="1:10" ht="14.25">
      <c r="A61" t="s">
        <v>99</v>
      </c>
      <c r="B61" s="49">
        <f>SUM(C61:J61)</f>
        <v>180000</v>
      </c>
      <c r="C61" s="44"/>
      <c r="D61" s="58">
        <f>CHOOSE($B$13,D57,D58,D59)</f>
        <v>15000</v>
      </c>
      <c r="E61" s="58">
        <f aca="true" t="shared" si="12" ref="E61:J61">CHOOSE($B$13,E57,E58,E59)</f>
        <v>22500</v>
      </c>
      <c r="F61" s="58">
        <f t="shared" si="12"/>
        <v>15000</v>
      </c>
      <c r="G61" s="58">
        <f t="shared" si="12"/>
        <v>30000</v>
      </c>
      <c r="H61" s="58">
        <f t="shared" si="12"/>
        <v>30000</v>
      </c>
      <c r="I61" s="58">
        <f t="shared" si="12"/>
        <v>37500</v>
      </c>
      <c r="J61" s="58">
        <f t="shared" si="12"/>
        <v>30000</v>
      </c>
    </row>
    <row r="62" spans="2:10" ht="14.25">
      <c r="B62" s="10"/>
      <c r="C62" s="44"/>
      <c r="D62" s="44"/>
      <c r="E62" s="44"/>
      <c r="F62" s="44"/>
      <c r="G62" s="44"/>
      <c r="H62" s="44"/>
      <c r="I62" s="10"/>
      <c r="J62" s="10"/>
    </row>
    <row r="63" spans="1:10" ht="14.25">
      <c r="A63" s="38" t="s">
        <v>100</v>
      </c>
      <c r="B63" s="20"/>
      <c r="C63" s="5">
        <v>100000</v>
      </c>
      <c r="D63" s="4">
        <f aca="true" t="shared" si="13" ref="D63:J63">C63*(1+$B$24)</f>
        <v>120000</v>
      </c>
      <c r="E63" s="4">
        <f t="shared" si="13"/>
        <v>144000</v>
      </c>
      <c r="F63" s="4">
        <f t="shared" si="13"/>
        <v>172800</v>
      </c>
      <c r="G63" s="4">
        <f t="shared" si="13"/>
        <v>207360</v>
      </c>
      <c r="H63" s="4">
        <f t="shared" si="13"/>
        <v>248832</v>
      </c>
      <c r="I63" s="4">
        <f t="shared" si="13"/>
        <v>298598.39999999997</v>
      </c>
      <c r="J63" s="4">
        <f t="shared" si="13"/>
        <v>358318.07999999996</v>
      </c>
    </row>
    <row r="64" spans="2:10" ht="14.25">
      <c r="B64" s="10"/>
      <c r="C64" s="44"/>
      <c r="D64" s="44"/>
      <c r="E64" s="44"/>
      <c r="F64" s="44"/>
      <c r="G64" s="44"/>
      <c r="H64" s="44"/>
      <c r="I64" s="10"/>
      <c r="J64" s="10"/>
    </row>
    <row r="65" spans="1:10" ht="14.25">
      <c r="A65" s="14"/>
      <c r="B65" s="14"/>
      <c r="C65" s="18"/>
      <c r="D65" s="14"/>
      <c r="E65" s="14"/>
      <c r="F65" s="14"/>
      <c r="G65" s="14"/>
      <c r="H65" s="14"/>
      <c r="I65" s="14"/>
      <c r="J65" s="14"/>
    </row>
    <row r="67" spans="1:2" ht="15">
      <c r="A67" s="19" t="s">
        <v>24</v>
      </c>
      <c r="B67" s="19"/>
    </row>
    <row r="68" spans="1:10" ht="14.25">
      <c r="A68" s="20" t="s">
        <v>88</v>
      </c>
      <c r="B68" s="20"/>
      <c r="C68" s="31">
        <f>C63</f>
        <v>100000</v>
      </c>
      <c r="D68" s="4">
        <f aca="true" t="shared" si="14" ref="D68:J68">MIN(AVERAGE(D51,D53)*$B$18,D63)</f>
        <v>120000</v>
      </c>
      <c r="E68" s="4">
        <f t="shared" si="14"/>
        <v>144000</v>
      </c>
      <c r="F68" s="4">
        <f t="shared" si="14"/>
        <v>172800</v>
      </c>
      <c r="G68" s="4">
        <f t="shared" si="14"/>
        <v>207360</v>
      </c>
      <c r="H68" s="4">
        <f t="shared" si="14"/>
        <v>248832</v>
      </c>
      <c r="I68" s="4">
        <f t="shared" si="14"/>
        <v>298598.39999999997</v>
      </c>
      <c r="J68" s="4">
        <f t="shared" si="14"/>
        <v>358318.07999999996</v>
      </c>
    </row>
    <row r="69" spans="1:10" ht="14.25">
      <c r="A69" s="20" t="s">
        <v>25</v>
      </c>
      <c r="B69" s="20"/>
      <c r="C69" s="4">
        <f aca="true" t="shared" si="15" ref="C69:H69">C68*(1-$B$25)</f>
        <v>70000</v>
      </c>
      <c r="D69" s="4">
        <f t="shared" si="15"/>
        <v>84000</v>
      </c>
      <c r="E69" s="4">
        <f t="shared" si="15"/>
        <v>100800</v>
      </c>
      <c r="F69" s="4">
        <f t="shared" si="15"/>
        <v>120959.99999999999</v>
      </c>
      <c r="G69" s="4">
        <f t="shared" si="15"/>
        <v>145152</v>
      </c>
      <c r="H69" s="4">
        <f t="shared" si="15"/>
        <v>174182.4</v>
      </c>
      <c r="I69" s="4">
        <f>I68*(1-$B$25)</f>
        <v>209018.87999999998</v>
      </c>
      <c r="J69" s="4">
        <f>J68*(1-$B$25)</f>
        <v>250822.65599999996</v>
      </c>
    </row>
    <row r="70" spans="1:10" ht="15">
      <c r="A70" s="21" t="s">
        <v>26</v>
      </c>
      <c r="B70" s="21"/>
      <c r="C70" s="22">
        <f aca="true" t="shared" si="16" ref="C70:H70">C68-C69</f>
        <v>30000</v>
      </c>
      <c r="D70" s="22">
        <f t="shared" si="16"/>
        <v>36000</v>
      </c>
      <c r="E70" s="22">
        <f t="shared" si="16"/>
        <v>43200</v>
      </c>
      <c r="F70" s="22">
        <f t="shared" si="16"/>
        <v>51840.000000000015</v>
      </c>
      <c r="G70" s="22">
        <f t="shared" si="16"/>
        <v>62208</v>
      </c>
      <c r="H70" s="22">
        <f t="shared" si="16"/>
        <v>74649.6</v>
      </c>
      <c r="I70" s="22">
        <f>I68-I69</f>
        <v>89579.51999999999</v>
      </c>
      <c r="J70" s="22">
        <f>J68-J69</f>
        <v>107495.424</v>
      </c>
    </row>
    <row r="71" spans="1:10" ht="14.25">
      <c r="A71" s="20"/>
      <c r="B71" s="20"/>
      <c r="C71" s="4"/>
      <c r="D71" s="23"/>
      <c r="E71" s="23"/>
      <c r="F71" s="4"/>
      <c r="G71" s="4"/>
      <c r="H71" s="4"/>
      <c r="I71" s="4"/>
      <c r="J71" s="4"/>
    </row>
    <row r="72" spans="1:10" ht="14.25">
      <c r="A72" s="24" t="s">
        <v>27</v>
      </c>
      <c r="B72" s="20"/>
      <c r="C72" s="25">
        <f aca="true" t="shared" si="17" ref="C72:H72">C68*$B$26</f>
        <v>10000</v>
      </c>
      <c r="D72" s="25">
        <f t="shared" si="17"/>
        <v>12000</v>
      </c>
      <c r="E72" s="25">
        <f t="shared" si="17"/>
        <v>14400</v>
      </c>
      <c r="F72" s="25">
        <f t="shared" si="17"/>
        <v>17280</v>
      </c>
      <c r="G72" s="25">
        <f t="shared" si="17"/>
        <v>20736</v>
      </c>
      <c r="H72" s="25">
        <f t="shared" si="17"/>
        <v>24883.2</v>
      </c>
      <c r="I72" s="25">
        <f>I68*$B$26</f>
        <v>29859.839999999997</v>
      </c>
      <c r="J72" s="25">
        <f>J68*$B$26</f>
        <v>35831.808</v>
      </c>
    </row>
    <row r="73" spans="1:10" ht="14.25">
      <c r="A73" s="24" t="s">
        <v>54</v>
      </c>
      <c r="B73" s="20"/>
      <c r="C73" s="26">
        <f>C93/$B$31</f>
        <v>5000</v>
      </c>
      <c r="D73" s="26">
        <f aca="true" t="shared" si="18" ref="D73:J73">D93/$B$31</f>
        <v>6000</v>
      </c>
      <c r="E73" s="26">
        <f t="shared" si="18"/>
        <v>7500</v>
      </c>
      <c r="F73" s="26">
        <f t="shared" si="18"/>
        <v>8500</v>
      </c>
      <c r="G73" s="26">
        <f t="shared" si="18"/>
        <v>10500</v>
      </c>
      <c r="H73" s="26">
        <f t="shared" si="18"/>
        <v>12500</v>
      </c>
      <c r="I73" s="26">
        <f t="shared" si="18"/>
        <v>15000</v>
      </c>
      <c r="J73" s="26">
        <f t="shared" si="18"/>
        <v>17000</v>
      </c>
    </row>
    <row r="74" spans="1:10" ht="14.25">
      <c r="A74" s="20" t="s">
        <v>28</v>
      </c>
      <c r="B74" s="20"/>
      <c r="C74" s="27">
        <f aca="true" t="shared" si="19" ref="C74:H74">SUM(C72:C73)</f>
        <v>15000</v>
      </c>
      <c r="D74" s="27">
        <f t="shared" si="19"/>
        <v>18000</v>
      </c>
      <c r="E74" s="27">
        <f t="shared" si="19"/>
        <v>21900</v>
      </c>
      <c r="F74" s="27">
        <f t="shared" si="19"/>
        <v>25780</v>
      </c>
      <c r="G74" s="27">
        <f t="shared" si="19"/>
        <v>31236</v>
      </c>
      <c r="H74" s="27">
        <f t="shared" si="19"/>
        <v>37383.2</v>
      </c>
      <c r="I74" s="27">
        <f>SUM(I72:I73)</f>
        <v>44859.84</v>
      </c>
      <c r="J74" s="27">
        <f>SUM(J72:J73)</f>
        <v>52831.808</v>
      </c>
    </row>
    <row r="75" spans="1:10" ht="14.25">
      <c r="A75" s="20"/>
      <c r="B75" s="20"/>
      <c r="C75" s="4"/>
      <c r="D75" s="4"/>
      <c r="E75" s="4"/>
      <c r="F75" s="4"/>
      <c r="G75" s="4"/>
      <c r="H75" s="4"/>
      <c r="I75" s="4"/>
      <c r="J75" s="4"/>
    </row>
    <row r="76" spans="1:10" ht="15">
      <c r="A76" s="21" t="s">
        <v>29</v>
      </c>
      <c r="B76" s="21"/>
      <c r="C76" s="28">
        <f aca="true" t="shared" si="20" ref="C76:H76">C70-C74</f>
        <v>15000</v>
      </c>
      <c r="D76" s="28">
        <f t="shared" si="20"/>
        <v>18000</v>
      </c>
      <c r="E76" s="28">
        <f t="shared" si="20"/>
        <v>21300</v>
      </c>
      <c r="F76" s="28">
        <f t="shared" si="20"/>
        <v>26060.000000000015</v>
      </c>
      <c r="G76" s="28">
        <f t="shared" si="20"/>
        <v>30972</v>
      </c>
      <c r="H76" s="28">
        <f t="shared" si="20"/>
        <v>37266.40000000001</v>
      </c>
      <c r="I76" s="28">
        <f>I70-I74</f>
        <v>44719.67999999999</v>
      </c>
      <c r="J76" s="28">
        <f>J70-J74</f>
        <v>54663.616</v>
      </c>
    </row>
    <row r="77" spans="1:10" ht="14.25">
      <c r="A77" s="20"/>
      <c r="B77" s="20"/>
      <c r="C77" s="4"/>
      <c r="D77" s="4"/>
      <c r="E77" s="4"/>
      <c r="F77" s="4"/>
      <c r="G77" s="4"/>
      <c r="H77" s="4"/>
      <c r="I77" s="4"/>
      <c r="J77" s="4"/>
    </row>
    <row r="78" spans="1:10" ht="14.25">
      <c r="A78" s="20" t="s">
        <v>30</v>
      </c>
      <c r="B78" s="20"/>
      <c r="C78" s="4">
        <f>-$G$30*AVERAGE(B103:C103)</f>
        <v>-685.7142857142857</v>
      </c>
      <c r="D78" s="4">
        <f aca="true" t="shared" si="21" ref="D78:J78">-$G$30*AVERAGE(C103:D103)</f>
        <v>-628.5714285714286</v>
      </c>
      <c r="E78" s="4">
        <f t="shared" si="21"/>
        <v>-514.2857142857142</v>
      </c>
      <c r="F78" s="4">
        <f t="shared" si="21"/>
        <v>-400</v>
      </c>
      <c r="G78" s="4">
        <f t="shared" si="21"/>
        <v>-285.7142857142857</v>
      </c>
      <c r="H78" s="4">
        <f t="shared" si="21"/>
        <v>-171.42857142857142</v>
      </c>
      <c r="I78" s="4">
        <f t="shared" si="21"/>
        <v>-57.14285714285713</v>
      </c>
      <c r="J78" s="4">
        <f t="shared" si="21"/>
        <v>0</v>
      </c>
    </row>
    <row r="79" spans="1:10" ht="14.25">
      <c r="A79" s="20" t="s">
        <v>31</v>
      </c>
      <c r="B79" s="20"/>
      <c r="C79" s="4">
        <f>$G$31*AVERAGE(B88:C88)</f>
        <v>362.1108634696959</v>
      </c>
      <c r="D79" s="4">
        <f aca="true" t="shared" si="22" ref="D79:J79">$G$31*AVERAGE(C88:D88)</f>
        <v>361.0231318968931</v>
      </c>
      <c r="E79" s="4">
        <f t="shared" si="22"/>
        <v>338.5560106856288</v>
      </c>
      <c r="F79" s="4">
        <f t="shared" si="22"/>
        <v>352.60624103699547</v>
      </c>
      <c r="G79" s="4">
        <f t="shared" si="22"/>
        <v>372.9734042383479</v>
      </c>
      <c r="H79" s="4">
        <f t="shared" si="22"/>
        <v>371.39916459782864</v>
      </c>
      <c r="I79" s="4">
        <f t="shared" si="22"/>
        <v>395.321007426968</v>
      </c>
      <c r="J79" s="4">
        <f t="shared" si="22"/>
        <v>500.40383015890677</v>
      </c>
    </row>
    <row r="80" spans="1:10" ht="14.25">
      <c r="A80" s="20"/>
      <c r="B80" s="20"/>
      <c r="C80" s="4"/>
      <c r="D80" s="4"/>
      <c r="E80" s="4"/>
      <c r="F80" s="4"/>
      <c r="G80" s="4"/>
      <c r="H80" s="4"/>
      <c r="I80" s="4"/>
      <c r="J80" s="4"/>
    </row>
    <row r="81" spans="1:10" ht="15">
      <c r="A81" s="21" t="s">
        <v>32</v>
      </c>
      <c r="B81" s="21"/>
      <c r="C81" s="28">
        <f aca="true" t="shared" si="23" ref="C81:H81">C76+C78+C79</f>
        <v>14676.39657775541</v>
      </c>
      <c r="D81" s="28">
        <f t="shared" si="23"/>
        <v>17732.451703325467</v>
      </c>
      <c r="E81" s="28">
        <f t="shared" si="23"/>
        <v>21124.270296399915</v>
      </c>
      <c r="F81" s="28">
        <f t="shared" si="23"/>
        <v>26012.60624103701</v>
      </c>
      <c r="G81" s="28">
        <f t="shared" si="23"/>
        <v>31059.25911852406</v>
      </c>
      <c r="H81" s="28">
        <f t="shared" si="23"/>
        <v>37466.37059316927</v>
      </c>
      <c r="I81" s="28">
        <f>I76+I78+I79</f>
        <v>45057.858150284104</v>
      </c>
      <c r="J81" s="28">
        <f>J76+J78+J79</f>
        <v>55164.01983015891</v>
      </c>
    </row>
    <row r="82" spans="1:10" ht="14.25">
      <c r="A82" s="20" t="s">
        <v>33</v>
      </c>
      <c r="B82" s="20"/>
      <c r="C82" s="4">
        <f aca="true" t="shared" si="24" ref="C82:H82">$B$27*C81</f>
        <v>5136.738802214393</v>
      </c>
      <c r="D82" s="4">
        <f t="shared" si="24"/>
        <v>6206.358096163913</v>
      </c>
      <c r="E82" s="4">
        <f t="shared" si="24"/>
        <v>7393.4946037399695</v>
      </c>
      <c r="F82" s="4">
        <f t="shared" si="24"/>
        <v>9104.412184362953</v>
      </c>
      <c r="G82" s="4">
        <f t="shared" si="24"/>
        <v>10870.740691483421</v>
      </c>
      <c r="H82" s="4">
        <f t="shared" si="24"/>
        <v>13113.229707609244</v>
      </c>
      <c r="I82" s="4">
        <f>$B$27*I81</f>
        <v>15770.250352599436</v>
      </c>
      <c r="J82" s="4">
        <f>$B$27*J81</f>
        <v>19307.40694055562</v>
      </c>
    </row>
    <row r="83" spans="1:10" ht="14.25">
      <c r="A83" s="20"/>
      <c r="B83" s="20"/>
      <c r="C83" s="4"/>
      <c r="D83" s="4"/>
      <c r="E83" s="4"/>
      <c r="F83" s="4"/>
      <c r="G83" s="4"/>
      <c r="H83" s="4"/>
      <c r="I83" s="4"/>
      <c r="J83" s="4"/>
    </row>
    <row r="84" spans="1:10" ht="15.75" thickBot="1">
      <c r="A84" s="21" t="s">
        <v>34</v>
      </c>
      <c r="B84" s="21"/>
      <c r="C84" s="29">
        <f aca="true" t="shared" si="25" ref="C84:H84">C81-C82</f>
        <v>9539.657775541016</v>
      </c>
      <c r="D84" s="29">
        <f t="shared" si="25"/>
        <v>11526.093607161554</v>
      </c>
      <c r="E84" s="29">
        <f t="shared" si="25"/>
        <v>13730.775692659945</v>
      </c>
      <c r="F84" s="29">
        <f t="shared" si="25"/>
        <v>16908.19405667406</v>
      </c>
      <c r="G84" s="29">
        <f t="shared" si="25"/>
        <v>20188.51842704064</v>
      </c>
      <c r="H84" s="29">
        <f t="shared" si="25"/>
        <v>24353.140885560024</v>
      </c>
      <c r="I84" s="29">
        <f>I81-I82</f>
        <v>29287.60779768467</v>
      </c>
      <c r="J84" s="29">
        <f>J81-J82</f>
        <v>35856.61288960329</v>
      </c>
    </row>
    <row r="85" spans="1:10" ht="15" thickTop="1">
      <c r="A85" s="14"/>
      <c r="B85" s="14"/>
      <c r="C85" s="30"/>
      <c r="D85" s="14"/>
      <c r="E85" s="14"/>
      <c r="F85" s="14"/>
      <c r="G85" s="14"/>
      <c r="H85" s="14"/>
      <c r="I85" s="14"/>
      <c r="J85" s="14"/>
    </row>
    <row r="86" spans="1:3" ht="15">
      <c r="A86" s="19" t="s">
        <v>35</v>
      </c>
      <c r="B86" s="19"/>
      <c r="C86" s="4"/>
    </row>
    <row r="87" ht="14.25">
      <c r="C87" s="4"/>
    </row>
    <row r="88" spans="1:10" ht="14.25">
      <c r="A88" s="24" t="s">
        <v>36</v>
      </c>
      <c r="B88" s="24"/>
      <c r="C88" s="4">
        <f aca="true" t="shared" si="26" ref="C88:H88">C138</f>
        <v>36211.08634696959</v>
      </c>
      <c r="D88" s="4">
        <f t="shared" si="26"/>
        <v>35993.54003240903</v>
      </c>
      <c r="E88" s="4">
        <f t="shared" si="26"/>
        <v>31717.66210471673</v>
      </c>
      <c r="F88" s="4">
        <f t="shared" si="26"/>
        <v>38803.58610268237</v>
      </c>
      <c r="G88" s="4">
        <f t="shared" si="26"/>
        <v>35791.0947449872</v>
      </c>
      <c r="H88" s="4">
        <f t="shared" si="26"/>
        <v>38488.73817457853</v>
      </c>
      <c r="I88" s="4">
        <f>I138</f>
        <v>40575.46331081507</v>
      </c>
      <c r="J88" s="4">
        <f>J138</f>
        <v>59505.3027209663</v>
      </c>
    </row>
    <row r="89" spans="1:10" ht="14.25">
      <c r="A89" s="24" t="s">
        <v>37</v>
      </c>
      <c r="B89" s="24"/>
      <c r="C89" s="31">
        <f aca="true" t="shared" si="27" ref="C89:J89">C68/365*$B$29</f>
        <v>12328.767123287671</v>
      </c>
      <c r="D89" s="31">
        <f t="shared" si="27"/>
        <v>14794.520547945205</v>
      </c>
      <c r="E89" s="31">
        <f t="shared" si="27"/>
        <v>17753.424657534248</v>
      </c>
      <c r="F89" s="31">
        <f t="shared" si="27"/>
        <v>21304.109589041098</v>
      </c>
      <c r="G89" s="31">
        <f t="shared" si="27"/>
        <v>25564.931506849316</v>
      </c>
      <c r="H89" s="31">
        <f t="shared" si="27"/>
        <v>30677.91780821918</v>
      </c>
      <c r="I89" s="31">
        <f t="shared" si="27"/>
        <v>36813.50136986301</v>
      </c>
      <c r="J89" s="31">
        <f t="shared" si="27"/>
        <v>44176.20164383561</v>
      </c>
    </row>
    <row r="90" spans="1:10" ht="14.25">
      <c r="A90" s="24" t="s">
        <v>38</v>
      </c>
      <c r="B90" s="24"/>
      <c r="C90" s="31">
        <f aca="true" t="shared" si="28" ref="C90:H90">C69/365*$B$32</f>
        <v>958.9041095890411</v>
      </c>
      <c r="D90" s="31">
        <f t="shared" si="28"/>
        <v>1150.6849315068494</v>
      </c>
      <c r="E90" s="31">
        <f t="shared" si="28"/>
        <v>1380.821917808219</v>
      </c>
      <c r="F90" s="31">
        <f t="shared" si="28"/>
        <v>1656.9863013698628</v>
      </c>
      <c r="G90" s="31">
        <f t="shared" si="28"/>
        <v>1988.3835616438355</v>
      </c>
      <c r="H90" s="31">
        <f t="shared" si="28"/>
        <v>2386.0602739726028</v>
      </c>
      <c r="I90" s="31">
        <f>I69/365*$B$32</f>
        <v>2863.272328767123</v>
      </c>
      <c r="J90" s="31">
        <f>J69/365*$B$32</f>
        <v>3435.926794520547</v>
      </c>
    </row>
    <row r="91" spans="1:10" ht="14.25">
      <c r="A91" s="20" t="s">
        <v>39</v>
      </c>
      <c r="B91" s="20"/>
      <c r="C91" s="32">
        <f aca="true" t="shared" si="29" ref="C91:H91">SUM(C88:C90)</f>
        <v>49498.75757984631</v>
      </c>
      <c r="D91" s="32">
        <f t="shared" si="29"/>
        <v>51938.74551186108</v>
      </c>
      <c r="E91" s="32">
        <f t="shared" si="29"/>
        <v>50851.9086800592</v>
      </c>
      <c r="F91" s="32">
        <f t="shared" si="29"/>
        <v>61764.68199309333</v>
      </c>
      <c r="G91" s="32">
        <f t="shared" si="29"/>
        <v>63344.40981348035</v>
      </c>
      <c r="H91" s="32">
        <f t="shared" si="29"/>
        <v>71552.7162567703</v>
      </c>
      <c r="I91" s="32">
        <f>SUM(I88:I90)</f>
        <v>80252.23700944519</v>
      </c>
      <c r="J91" s="32">
        <f>SUM(J88:J90)</f>
        <v>107117.43115932246</v>
      </c>
    </row>
    <row r="92" spans="1:10" ht="14.25">
      <c r="A92" s="20"/>
      <c r="B92" s="20"/>
      <c r="C92" s="4"/>
      <c r="D92" s="4"/>
      <c r="E92" s="4"/>
      <c r="F92" s="4"/>
      <c r="G92" s="4"/>
      <c r="H92" s="4"/>
      <c r="I92" s="4"/>
      <c r="J92" s="4"/>
    </row>
    <row r="93" spans="1:10" ht="14.25">
      <c r="A93" s="24" t="s">
        <v>40</v>
      </c>
      <c r="B93" s="24"/>
      <c r="C93" s="59">
        <f>B20*B12</f>
        <v>75000</v>
      </c>
      <c r="D93" s="4">
        <f aca="true" t="shared" si="30" ref="D93:J93">C93-D127</f>
        <v>90000</v>
      </c>
      <c r="E93" s="4">
        <f t="shared" si="30"/>
        <v>112500</v>
      </c>
      <c r="F93" s="4">
        <f t="shared" si="30"/>
        <v>127500</v>
      </c>
      <c r="G93" s="4">
        <f t="shared" si="30"/>
        <v>157500</v>
      </c>
      <c r="H93" s="4">
        <f t="shared" si="30"/>
        <v>187500</v>
      </c>
      <c r="I93" s="4">
        <f t="shared" si="30"/>
        <v>225000</v>
      </c>
      <c r="J93" s="4">
        <f t="shared" si="30"/>
        <v>255000</v>
      </c>
    </row>
    <row r="94" spans="1:10" ht="14.25">
      <c r="A94" s="24" t="s">
        <v>41</v>
      </c>
      <c r="B94" s="24"/>
      <c r="C94" s="5">
        <v>500</v>
      </c>
      <c r="D94" s="4">
        <f aca="true" t="shared" si="31" ref="D94:J94">C94+D73</f>
        <v>6500</v>
      </c>
      <c r="E94" s="4">
        <f t="shared" si="31"/>
        <v>14000</v>
      </c>
      <c r="F94" s="4">
        <f t="shared" si="31"/>
        <v>22500</v>
      </c>
      <c r="G94" s="4">
        <f t="shared" si="31"/>
        <v>33000</v>
      </c>
      <c r="H94" s="4">
        <f t="shared" si="31"/>
        <v>45500</v>
      </c>
      <c r="I94" s="4">
        <f t="shared" si="31"/>
        <v>60500</v>
      </c>
      <c r="J94" s="4">
        <f t="shared" si="31"/>
        <v>77500</v>
      </c>
    </row>
    <row r="95" spans="1:10" ht="14.25">
      <c r="A95" s="20" t="s">
        <v>42</v>
      </c>
      <c r="B95" s="20"/>
      <c r="C95" s="32">
        <f aca="true" t="shared" si="32" ref="C95:H95">C93-C94</f>
        <v>74500</v>
      </c>
      <c r="D95" s="32">
        <f t="shared" si="32"/>
        <v>83500</v>
      </c>
      <c r="E95" s="32">
        <f t="shared" si="32"/>
        <v>98500</v>
      </c>
      <c r="F95" s="32">
        <f t="shared" si="32"/>
        <v>105000</v>
      </c>
      <c r="G95" s="32">
        <f t="shared" si="32"/>
        <v>124500</v>
      </c>
      <c r="H95" s="32">
        <f t="shared" si="32"/>
        <v>142000</v>
      </c>
      <c r="I95" s="32">
        <f>I93-I94</f>
        <v>164500</v>
      </c>
      <c r="J95" s="32">
        <f>J93-J94</f>
        <v>177500</v>
      </c>
    </row>
    <row r="96" spans="1:10" ht="14.25">
      <c r="A96" s="20"/>
      <c r="B96" s="20"/>
      <c r="C96" s="4"/>
      <c r="D96" s="4"/>
      <c r="E96" s="4"/>
      <c r="F96" s="4"/>
      <c r="G96" s="4"/>
      <c r="H96" s="4"/>
      <c r="I96" s="4"/>
      <c r="J96" s="4"/>
    </row>
    <row r="97" spans="1:10" ht="15.75" thickBot="1">
      <c r="A97" s="21" t="s">
        <v>43</v>
      </c>
      <c r="B97" s="21"/>
      <c r="C97" s="29">
        <f aca="true" t="shared" si="33" ref="C97:H97">C95+C91</f>
        <v>123998.75757984631</v>
      </c>
      <c r="D97" s="29">
        <f t="shared" si="33"/>
        <v>135438.74551186108</v>
      </c>
      <c r="E97" s="29">
        <f t="shared" si="33"/>
        <v>149351.9086800592</v>
      </c>
      <c r="F97" s="29">
        <f t="shared" si="33"/>
        <v>166764.68199309334</v>
      </c>
      <c r="G97" s="29">
        <f t="shared" si="33"/>
        <v>187844.40981348034</v>
      </c>
      <c r="H97" s="29">
        <f t="shared" si="33"/>
        <v>213552.7162567703</v>
      </c>
      <c r="I97" s="29">
        <f>I95+I91</f>
        <v>244752.2370094452</v>
      </c>
      <c r="J97" s="29">
        <f>J95+J91</f>
        <v>284617.43115932244</v>
      </c>
    </row>
    <row r="98" spans="1:10" ht="15" thickTop="1">
      <c r="A98" s="20"/>
      <c r="B98" s="20"/>
      <c r="C98" s="4"/>
      <c r="D98" s="4"/>
      <c r="E98" s="4"/>
      <c r="F98" s="4"/>
      <c r="G98" s="4"/>
      <c r="H98" s="4"/>
      <c r="I98" s="4"/>
      <c r="J98" s="4"/>
    </row>
    <row r="99" spans="1:10" ht="14.25">
      <c r="A99" s="24" t="s">
        <v>44</v>
      </c>
      <c r="B99" s="24"/>
      <c r="C99" s="31">
        <f aca="true" t="shared" si="34" ref="C99:H99">C69/365*$B$30</f>
        <v>6712.328767123288</v>
      </c>
      <c r="D99" s="31">
        <f t="shared" si="34"/>
        <v>8054.7945205479455</v>
      </c>
      <c r="E99" s="31">
        <f t="shared" si="34"/>
        <v>9665.753424657534</v>
      </c>
      <c r="F99" s="31">
        <f t="shared" si="34"/>
        <v>11598.904109589039</v>
      </c>
      <c r="G99" s="31">
        <f t="shared" si="34"/>
        <v>13918.684931506848</v>
      </c>
      <c r="H99" s="31">
        <f t="shared" si="34"/>
        <v>16702.42191780822</v>
      </c>
      <c r="I99" s="31">
        <f>I69/365*$B$30</f>
        <v>20042.90630136986</v>
      </c>
      <c r="J99" s="31">
        <f>J69/365*$B$30</f>
        <v>24051.48756164383</v>
      </c>
    </row>
    <row r="100" spans="1:10" ht="14.25">
      <c r="A100" s="24" t="s">
        <v>45</v>
      </c>
      <c r="B100" s="24"/>
      <c r="C100" s="5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</row>
    <row r="101" spans="1:10" ht="14.25">
      <c r="A101" s="20" t="s">
        <v>46</v>
      </c>
      <c r="B101" s="20"/>
      <c r="C101" s="32">
        <f aca="true" t="shared" si="35" ref="C101:H101">SUM(C99:C100)</f>
        <v>6712.328767123288</v>
      </c>
      <c r="D101" s="32">
        <f t="shared" si="35"/>
        <v>8054.7945205479455</v>
      </c>
      <c r="E101" s="32">
        <f t="shared" si="35"/>
        <v>9665.753424657534</v>
      </c>
      <c r="F101" s="32">
        <f t="shared" si="35"/>
        <v>11598.904109589039</v>
      </c>
      <c r="G101" s="32">
        <f t="shared" si="35"/>
        <v>13918.684931506848</v>
      </c>
      <c r="H101" s="32">
        <f t="shared" si="35"/>
        <v>16702.42191780822</v>
      </c>
      <c r="I101" s="32">
        <f>SUM(I99:I100)</f>
        <v>20042.90630136986</v>
      </c>
      <c r="J101" s="32">
        <f>SUM(J99:J100)</f>
        <v>24051.48756164383</v>
      </c>
    </row>
    <row r="102" spans="1:10" ht="14.25">
      <c r="A102" s="20"/>
      <c r="B102" s="20"/>
      <c r="C102" s="4"/>
      <c r="D102" s="4"/>
      <c r="E102" s="4"/>
      <c r="F102" s="4"/>
      <c r="G102" s="4"/>
      <c r="H102" s="4"/>
      <c r="I102" s="4"/>
      <c r="J102" s="4"/>
    </row>
    <row r="103" spans="1:10" ht="14.25">
      <c r="A103" s="20" t="s">
        <v>101</v>
      </c>
      <c r="B103" s="20"/>
      <c r="C103" s="31">
        <f>B131+C131</f>
        <v>8571.42857142857</v>
      </c>
      <c r="D103" s="4">
        <f aca="true" t="shared" si="36" ref="D103:J103">C103+D131</f>
        <v>7142.857142857142</v>
      </c>
      <c r="E103" s="4">
        <f t="shared" si="36"/>
        <v>5714.285714285714</v>
      </c>
      <c r="F103" s="4">
        <f t="shared" si="36"/>
        <v>4285.714285714285</v>
      </c>
      <c r="G103" s="4">
        <f t="shared" si="36"/>
        <v>2857.142857142857</v>
      </c>
      <c r="H103" s="4">
        <f t="shared" si="36"/>
        <v>1428.5714285714282</v>
      </c>
      <c r="I103" s="4">
        <f t="shared" si="36"/>
        <v>0</v>
      </c>
      <c r="J103" s="4">
        <f t="shared" si="36"/>
        <v>0</v>
      </c>
    </row>
    <row r="104" spans="1:2" ht="14.25">
      <c r="A104" s="20"/>
      <c r="B104" s="20"/>
    </row>
    <row r="105" spans="1:10" ht="14.25">
      <c r="A105" s="20" t="s">
        <v>47</v>
      </c>
      <c r="B105" s="20"/>
      <c r="C105" s="4">
        <f aca="true" t="shared" si="37" ref="C105:H105">C103+C101</f>
        <v>15283.757338551859</v>
      </c>
      <c r="D105" s="4">
        <f t="shared" si="37"/>
        <v>15197.651663405088</v>
      </c>
      <c r="E105" s="4">
        <f t="shared" si="37"/>
        <v>15380.039138943248</v>
      </c>
      <c r="F105" s="4">
        <f t="shared" si="37"/>
        <v>15884.618395303325</v>
      </c>
      <c r="G105" s="4">
        <f t="shared" si="37"/>
        <v>16775.827788649705</v>
      </c>
      <c r="H105" s="4">
        <f t="shared" si="37"/>
        <v>18130.993346379648</v>
      </c>
      <c r="I105" s="4">
        <f>I103+I101</f>
        <v>20042.90630136986</v>
      </c>
      <c r="J105" s="4">
        <f>J103+J101</f>
        <v>24051.48756164383</v>
      </c>
    </row>
    <row r="106" spans="1:2" ht="14.25">
      <c r="A106" s="20"/>
      <c r="B106" s="20"/>
    </row>
    <row r="107" spans="1:10" ht="14.25">
      <c r="A107" s="24" t="s">
        <v>48</v>
      </c>
      <c r="B107" s="20"/>
      <c r="C107" s="5">
        <f>C97-C105</f>
        <v>108715.00024129445</v>
      </c>
      <c r="D107" s="4">
        <f aca="true" t="shared" si="38" ref="D107:J107">C107+D132</f>
        <v>108715.00024129445</v>
      </c>
      <c r="E107" s="4">
        <f t="shared" si="38"/>
        <v>108715.00024129445</v>
      </c>
      <c r="F107" s="4">
        <f t="shared" si="38"/>
        <v>108715.00024129445</v>
      </c>
      <c r="G107" s="4">
        <f t="shared" si="38"/>
        <v>108715.00024129445</v>
      </c>
      <c r="H107" s="4">
        <f t="shared" si="38"/>
        <v>108715.00024129445</v>
      </c>
      <c r="I107" s="4">
        <f t="shared" si="38"/>
        <v>108715.00024129445</v>
      </c>
      <c r="J107" s="4">
        <f t="shared" si="38"/>
        <v>108715.00024129445</v>
      </c>
    </row>
    <row r="108" spans="1:10" ht="14.25">
      <c r="A108" s="24" t="s">
        <v>49</v>
      </c>
      <c r="B108" s="20"/>
      <c r="C108" s="5">
        <v>0</v>
      </c>
      <c r="D108" s="4">
        <f aca="true" t="shared" si="39" ref="D108:J108">C108+D84</f>
        <v>11526.093607161554</v>
      </c>
      <c r="E108" s="4">
        <f t="shared" si="39"/>
        <v>25256.869299821497</v>
      </c>
      <c r="F108" s="4">
        <f t="shared" si="39"/>
        <v>42165.06335649556</v>
      </c>
      <c r="G108" s="4">
        <f t="shared" si="39"/>
        <v>62353.581783536196</v>
      </c>
      <c r="H108" s="4">
        <f t="shared" si="39"/>
        <v>86706.72266909623</v>
      </c>
      <c r="I108" s="4">
        <f t="shared" si="39"/>
        <v>115994.3304667809</v>
      </c>
      <c r="J108" s="4">
        <f t="shared" si="39"/>
        <v>151850.94335638417</v>
      </c>
    </row>
    <row r="109" spans="1:10" ht="14.25">
      <c r="A109" s="20" t="s">
        <v>50</v>
      </c>
      <c r="B109" s="20"/>
      <c r="C109" s="32">
        <f aca="true" t="shared" si="40" ref="C109:H109">SUM(C107:C108)</f>
        <v>108715.00024129445</v>
      </c>
      <c r="D109" s="32">
        <f t="shared" si="40"/>
        <v>120241.093848456</v>
      </c>
      <c r="E109" s="32">
        <f t="shared" si="40"/>
        <v>133971.86954111594</v>
      </c>
      <c r="F109" s="32">
        <f t="shared" si="40"/>
        <v>150880.06359779</v>
      </c>
      <c r="G109" s="32">
        <f t="shared" si="40"/>
        <v>171068.58202483063</v>
      </c>
      <c r="H109" s="32">
        <f t="shared" si="40"/>
        <v>195421.72291039067</v>
      </c>
      <c r="I109" s="32">
        <f>SUM(I107:I108)</f>
        <v>224709.33070807534</v>
      </c>
      <c r="J109" s="32">
        <f>SUM(J107:J108)</f>
        <v>260565.94359767862</v>
      </c>
    </row>
    <row r="110" spans="1:2" ht="14.25">
      <c r="A110" s="20"/>
      <c r="B110" s="20"/>
    </row>
    <row r="111" spans="1:10" ht="15.75" thickBot="1">
      <c r="A111" s="21" t="s">
        <v>51</v>
      </c>
      <c r="B111" s="21"/>
      <c r="C111" s="29">
        <f aca="true" t="shared" si="41" ref="C111:H111">C109+C105</f>
        <v>123998.75757984631</v>
      </c>
      <c r="D111" s="29">
        <f t="shared" si="41"/>
        <v>135438.74551186108</v>
      </c>
      <c r="E111" s="29">
        <f t="shared" si="41"/>
        <v>149351.9086800592</v>
      </c>
      <c r="F111" s="29">
        <f t="shared" si="41"/>
        <v>166764.6819930933</v>
      </c>
      <c r="G111" s="29">
        <f t="shared" si="41"/>
        <v>187844.40981348034</v>
      </c>
      <c r="H111" s="29">
        <f t="shared" si="41"/>
        <v>213552.7162567703</v>
      </c>
      <c r="I111" s="29">
        <f>I109+I105</f>
        <v>244752.2370094452</v>
      </c>
      <c r="J111" s="29">
        <f>J109+J105</f>
        <v>284617.43115932244</v>
      </c>
    </row>
    <row r="112" spans="1:10" ht="15.75" thickTop="1">
      <c r="A112" s="21"/>
      <c r="B112" s="21"/>
      <c r="C112" s="33">
        <f aca="true" t="shared" si="42" ref="C112:H112">IF(ABS(C111-C97)&gt;0.01,"ERR"&amp;C97-C111,"")</f>
      </c>
      <c r="D112" s="33">
        <f t="shared" si="42"/>
      </c>
      <c r="E112" s="33">
        <f t="shared" si="42"/>
      </c>
      <c r="F112" s="33">
        <f t="shared" si="42"/>
      </c>
      <c r="G112" s="33">
        <f t="shared" si="42"/>
      </c>
      <c r="H112" s="33">
        <f t="shared" si="42"/>
      </c>
      <c r="I112" s="33">
        <f>IF(ABS(I111-I97)&gt;0.01,"ERR"&amp;I97-I111,"")</f>
      </c>
      <c r="J112" s="33">
        <f>IF(ABS(J111-J97)&gt;0.01,"ERR"&amp;J97-J111,"")</f>
      </c>
    </row>
    <row r="113" spans="1:10" ht="14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</row>
    <row r="114" spans="1:2" ht="15">
      <c r="A114" s="1" t="s">
        <v>52</v>
      </c>
      <c r="B114" s="1"/>
    </row>
    <row r="116" spans="1:2" ht="14.25">
      <c r="A116" s="20" t="s">
        <v>53</v>
      </c>
      <c r="B116" s="20"/>
    </row>
    <row r="117" spans="1:10" ht="14.25">
      <c r="A117" s="24" t="s">
        <v>34</v>
      </c>
      <c r="B117" s="24"/>
      <c r="C117" s="4">
        <f aca="true" t="shared" si="43" ref="C117:H117">C84</f>
        <v>9539.657775541016</v>
      </c>
      <c r="D117" s="4">
        <f t="shared" si="43"/>
        <v>11526.093607161554</v>
      </c>
      <c r="E117" s="4">
        <f t="shared" si="43"/>
        <v>13730.775692659945</v>
      </c>
      <c r="F117" s="4">
        <f t="shared" si="43"/>
        <v>16908.19405667406</v>
      </c>
      <c r="G117" s="4">
        <f t="shared" si="43"/>
        <v>20188.51842704064</v>
      </c>
      <c r="H117" s="4">
        <f t="shared" si="43"/>
        <v>24353.140885560024</v>
      </c>
      <c r="I117" s="4">
        <f>I84</f>
        <v>29287.60779768467</v>
      </c>
      <c r="J117" s="4">
        <f>J84</f>
        <v>35856.61288960329</v>
      </c>
    </row>
    <row r="118" spans="1:10" ht="14.25">
      <c r="A118" s="24" t="s">
        <v>54</v>
      </c>
      <c r="B118" s="24"/>
      <c r="C118" s="4">
        <f aca="true" t="shared" si="44" ref="C118:H118">C73</f>
        <v>5000</v>
      </c>
      <c r="D118" s="4">
        <f t="shared" si="44"/>
        <v>6000</v>
      </c>
      <c r="E118" s="4">
        <f t="shared" si="44"/>
        <v>7500</v>
      </c>
      <c r="F118" s="4">
        <f t="shared" si="44"/>
        <v>8500</v>
      </c>
      <c r="G118" s="4">
        <f t="shared" si="44"/>
        <v>10500</v>
      </c>
      <c r="H118" s="4">
        <f t="shared" si="44"/>
        <v>12500</v>
      </c>
      <c r="I118" s="4">
        <f>I73</f>
        <v>15000</v>
      </c>
      <c r="J118" s="4">
        <f>J73</f>
        <v>17000</v>
      </c>
    </row>
    <row r="119" spans="1:3" ht="14.25">
      <c r="A119" s="24" t="s">
        <v>55</v>
      </c>
      <c r="B119" s="24"/>
      <c r="C119" s="31"/>
    </row>
    <row r="120" spans="1:10" ht="14.25">
      <c r="A120" s="34" t="s">
        <v>56</v>
      </c>
      <c r="B120" s="34"/>
      <c r="C120" s="5">
        <v>-2500</v>
      </c>
      <c r="D120" s="4">
        <f aca="true" t="shared" si="45" ref="D120:H121">C89-D89</f>
        <v>-2465.753424657534</v>
      </c>
      <c r="E120" s="4">
        <f t="shared" si="45"/>
        <v>-2958.9041095890425</v>
      </c>
      <c r="F120" s="4">
        <f t="shared" si="45"/>
        <v>-3550.6849315068503</v>
      </c>
      <c r="G120" s="4">
        <f t="shared" si="45"/>
        <v>-4260.821917808218</v>
      </c>
      <c r="H120" s="4">
        <f t="shared" si="45"/>
        <v>-5112.986301369863</v>
      </c>
      <c r="I120" s="4">
        <f>H89-I89</f>
        <v>-6135.583561643827</v>
      </c>
      <c r="J120" s="4">
        <f>I89-J89</f>
        <v>-7362.700273972601</v>
      </c>
    </row>
    <row r="121" spans="1:10" ht="14.25">
      <c r="A121" s="34" t="s">
        <v>38</v>
      </c>
      <c r="B121" s="34"/>
      <c r="C121" s="5">
        <v>-150</v>
      </c>
      <c r="D121" s="4">
        <f t="shared" si="45"/>
        <v>-191.78082191780823</v>
      </c>
      <c r="E121" s="4">
        <f t="shared" si="45"/>
        <v>-230.1369863013697</v>
      </c>
      <c r="F121" s="4">
        <f t="shared" si="45"/>
        <v>-276.1643835616437</v>
      </c>
      <c r="G121" s="4">
        <f t="shared" si="45"/>
        <v>-331.39726027397273</v>
      </c>
      <c r="H121" s="4">
        <f t="shared" si="45"/>
        <v>-397.6767123287673</v>
      </c>
      <c r="I121" s="4">
        <f>H90-I90</f>
        <v>-477.2120547945201</v>
      </c>
      <c r="J121" s="4">
        <f>I90-J90</f>
        <v>-572.6544657534241</v>
      </c>
    </row>
    <row r="122" spans="1:10" ht="14.25">
      <c r="A122" s="34" t="s">
        <v>57</v>
      </c>
      <c r="B122" s="34"/>
      <c r="C122" s="5">
        <v>750</v>
      </c>
      <c r="D122" s="4">
        <f aca="true" t="shared" si="46" ref="D122:H123">D99-C99</f>
        <v>1342.4657534246571</v>
      </c>
      <c r="E122" s="4">
        <f t="shared" si="46"/>
        <v>1610.9589041095887</v>
      </c>
      <c r="F122" s="4">
        <f t="shared" si="46"/>
        <v>1933.1506849315047</v>
      </c>
      <c r="G122" s="4">
        <f t="shared" si="46"/>
        <v>2319.7808219178096</v>
      </c>
      <c r="H122" s="4">
        <f t="shared" si="46"/>
        <v>2783.736986301372</v>
      </c>
      <c r="I122" s="4">
        <f>I99-H99</f>
        <v>3340.484383561641</v>
      </c>
      <c r="J122" s="4">
        <f>J99-I99</f>
        <v>4008.581260273968</v>
      </c>
    </row>
    <row r="123" spans="1:10" ht="14.25">
      <c r="A123" s="34" t="s">
        <v>45</v>
      </c>
      <c r="B123" s="34"/>
      <c r="C123" s="5">
        <v>0</v>
      </c>
      <c r="D123" s="4">
        <f t="shared" si="46"/>
        <v>0</v>
      </c>
      <c r="E123" s="4">
        <f t="shared" si="46"/>
        <v>0</v>
      </c>
      <c r="F123" s="4">
        <f t="shared" si="46"/>
        <v>0</v>
      </c>
      <c r="G123" s="4">
        <f t="shared" si="46"/>
        <v>0</v>
      </c>
      <c r="H123" s="4">
        <f t="shared" si="46"/>
        <v>0</v>
      </c>
      <c r="I123" s="4">
        <f>I100-H100</f>
        <v>0</v>
      </c>
      <c r="J123" s="4">
        <f>J100-I100</f>
        <v>0</v>
      </c>
    </row>
    <row r="124" spans="1:10" ht="14.25">
      <c r="A124" s="24" t="s">
        <v>58</v>
      </c>
      <c r="B124" s="24"/>
      <c r="C124" s="32">
        <f aca="true" t="shared" si="47" ref="C124:H124">SUM(C117:C123)</f>
        <v>12639.657775541016</v>
      </c>
      <c r="D124" s="32">
        <f t="shared" si="47"/>
        <v>16211.02511401087</v>
      </c>
      <c r="E124" s="32">
        <f t="shared" si="47"/>
        <v>19652.693500879126</v>
      </c>
      <c r="F124" s="32">
        <f t="shared" si="47"/>
        <v>23514.49542653707</v>
      </c>
      <c r="G124" s="32">
        <f t="shared" si="47"/>
        <v>28416.080070876254</v>
      </c>
      <c r="H124" s="32">
        <f t="shared" si="47"/>
        <v>34126.21485816276</v>
      </c>
      <c r="I124" s="32">
        <f>SUM(I117:I123)</f>
        <v>41015.29656480796</v>
      </c>
      <c r="J124" s="32">
        <f>SUM(J117:J123)</f>
        <v>48929.83941015123</v>
      </c>
    </row>
    <row r="126" spans="1:2" ht="14.25">
      <c r="A126" s="20" t="s">
        <v>59</v>
      </c>
      <c r="B126" s="20"/>
    </row>
    <row r="127" spans="1:10" ht="14.25">
      <c r="A127" s="24" t="s">
        <v>60</v>
      </c>
      <c r="B127" s="24"/>
      <c r="C127" s="5">
        <v>0</v>
      </c>
      <c r="D127" s="31">
        <f>-D61</f>
        <v>-15000</v>
      </c>
      <c r="E127" s="31">
        <f aca="true" t="shared" si="48" ref="E127:J127">-E61</f>
        <v>-22500</v>
      </c>
      <c r="F127" s="31">
        <f t="shared" si="48"/>
        <v>-15000</v>
      </c>
      <c r="G127" s="31">
        <f t="shared" si="48"/>
        <v>-30000</v>
      </c>
      <c r="H127" s="31">
        <f t="shared" si="48"/>
        <v>-30000</v>
      </c>
      <c r="I127" s="31">
        <f t="shared" si="48"/>
        <v>-37500</v>
      </c>
      <c r="J127" s="31">
        <f t="shared" si="48"/>
        <v>-30000</v>
      </c>
    </row>
    <row r="128" spans="1:10" ht="14.25">
      <c r="A128" s="20" t="s">
        <v>61</v>
      </c>
      <c r="B128" s="20"/>
      <c r="C128" s="32">
        <f aca="true" t="shared" si="49" ref="C128:H128">SUM(C127:C127)</f>
        <v>0</v>
      </c>
      <c r="D128" s="32">
        <f t="shared" si="49"/>
        <v>-15000</v>
      </c>
      <c r="E128" s="32">
        <f t="shared" si="49"/>
        <v>-22500</v>
      </c>
      <c r="F128" s="32">
        <f t="shared" si="49"/>
        <v>-15000</v>
      </c>
      <c r="G128" s="32">
        <f t="shared" si="49"/>
        <v>-30000</v>
      </c>
      <c r="H128" s="32">
        <f t="shared" si="49"/>
        <v>-30000</v>
      </c>
      <c r="I128" s="32">
        <f>SUM(I127:I127)</f>
        <v>-37500</v>
      </c>
      <c r="J128" s="32">
        <f>SUM(J127:J127)</f>
        <v>-30000</v>
      </c>
    </row>
    <row r="129" spans="3:10" ht="14.25">
      <c r="C129" s="4"/>
      <c r="D129" s="4"/>
      <c r="E129" s="4"/>
      <c r="F129" s="4"/>
      <c r="G129" s="4"/>
      <c r="H129" s="4"/>
      <c r="I129" s="4"/>
      <c r="J129" s="4"/>
    </row>
    <row r="130" spans="1:10" ht="14.25">
      <c r="A130" s="20" t="s">
        <v>62</v>
      </c>
      <c r="B130" s="20"/>
      <c r="C130" s="4"/>
      <c r="D130" s="4"/>
      <c r="E130" s="4"/>
      <c r="F130" s="4"/>
      <c r="G130" s="4"/>
      <c r="H130" s="4"/>
      <c r="I130" s="4"/>
      <c r="J130" s="4"/>
    </row>
    <row r="131" spans="1:10" ht="14.25">
      <c r="A131" s="24" t="s">
        <v>63</v>
      </c>
      <c r="B131" s="35">
        <v>10000</v>
      </c>
      <c r="C131" s="5">
        <f>-$B$131/$G$29</f>
        <v>-1428.5714285714287</v>
      </c>
      <c r="D131" s="31">
        <f aca="true" t="shared" si="50" ref="D131:J131">IF($B$131/$G$29&gt;C103,-C103,-$B$131/$G$29)</f>
        <v>-1428.5714285714287</v>
      </c>
      <c r="E131" s="31">
        <f t="shared" si="50"/>
        <v>-1428.5714285714287</v>
      </c>
      <c r="F131" s="31">
        <f t="shared" si="50"/>
        <v>-1428.5714285714287</v>
      </c>
      <c r="G131" s="31">
        <f t="shared" si="50"/>
        <v>-1428.5714285714287</v>
      </c>
      <c r="H131" s="31">
        <f t="shared" si="50"/>
        <v>-1428.5714285714287</v>
      </c>
      <c r="I131" s="31">
        <f t="shared" si="50"/>
        <v>-1428.5714285714287</v>
      </c>
      <c r="J131" s="31">
        <f t="shared" si="50"/>
        <v>0</v>
      </c>
    </row>
    <row r="132" spans="1:10" ht="14.25">
      <c r="A132" s="24" t="s">
        <v>64</v>
      </c>
      <c r="B132" s="24"/>
      <c r="C132" s="5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</row>
    <row r="133" spans="1:10" ht="14.25">
      <c r="A133" s="20" t="s">
        <v>65</v>
      </c>
      <c r="B133" s="20"/>
      <c r="C133" s="32">
        <f aca="true" t="shared" si="51" ref="C133:H133">SUM(C131:C132)</f>
        <v>-1428.5714285714287</v>
      </c>
      <c r="D133" s="32">
        <f t="shared" si="51"/>
        <v>-1428.5714285714287</v>
      </c>
      <c r="E133" s="32">
        <f t="shared" si="51"/>
        <v>-1428.5714285714287</v>
      </c>
      <c r="F133" s="32">
        <f t="shared" si="51"/>
        <v>-1428.5714285714287</v>
      </c>
      <c r="G133" s="32">
        <f t="shared" si="51"/>
        <v>-1428.5714285714287</v>
      </c>
      <c r="H133" s="32">
        <f t="shared" si="51"/>
        <v>-1428.5714285714287</v>
      </c>
      <c r="I133" s="32">
        <f>SUM(I131:I132)</f>
        <v>-1428.5714285714287</v>
      </c>
      <c r="J133" s="32">
        <f>SUM(J131:J132)</f>
        <v>0</v>
      </c>
    </row>
    <row r="134" spans="1:10" ht="14.25">
      <c r="A134" s="20"/>
      <c r="B134" s="20"/>
      <c r="C134" s="36"/>
      <c r="D134" s="36"/>
      <c r="E134" s="36"/>
      <c r="F134" s="36"/>
      <c r="G134" s="36"/>
      <c r="H134" s="36"/>
      <c r="I134" s="36"/>
      <c r="J134" s="36"/>
    </row>
    <row r="135" spans="1:10" ht="15">
      <c r="A135" s="21" t="s">
        <v>66</v>
      </c>
      <c r="B135" s="20"/>
      <c r="C135" s="37">
        <f aca="true" t="shared" si="52" ref="C135:H135">C124+C128+C133</f>
        <v>11211.086346969587</v>
      </c>
      <c r="D135" s="37">
        <f t="shared" si="52"/>
        <v>-217.54631456055836</v>
      </c>
      <c r="E135" s="37">
        <f t="shared" si="52"/>
        <v>-4275.877927692302</v>
      </c>
      <c r="F135" s="37">
        <f t="shared" si="52"/>
        <v>7085.92399796564</v>
      </c>
      <c r="G135" s="37">
        <f t="shared" si="52"/>
        <v>-3012.491357695174</v>
      </c>
      <c r="H135" s="37">
        <f t="shared" si="52"/>
        <v>2697.643429591334</v>
      </c>
      <c r="I135" s="37">
        <f>I124+I128+I133</f>
        <v>2086.725136236534</v>
      </c>
      <c r="J135" s="37">
        <f>J124+J128+J133</f>
        <v>18929.83941015123</v>
      </c>
    </row>
    <row r="136" spans="1:10" ht="14.25">
      <c r="A136" s="20"/>
      <c r="B136" s="20"/>
      <c r="C136" s="36"/>
      <c r="D136" s="36"/>
      <c r="E136" s="36"/>
      <c r="F136" s="36"/>
      <c r="G136" s="36"/>
      <c r="H136" s="36"/>
      <c r="I136" s="36"/>
      <c r="J136" s="36"/>
    </row>
    <row r="137" spans="1:10" ht="14.25">
      <c r="A137" s="20" t="s">
        <v>67</v>
      </c>
      <c r="B137" s="20"/>
      <c r="C137" s="5">
        <v>25000</v>
      </c>
      <c r="D137" s="36">
        <f aca="true" t="shared" si="53" ref="D137:J137">C88</f>
        <v>36211.08634696959</v>
      </c>
      <c r="E137" s="36">
        <f t="shared" si="53"/>
        <v>35993.54003240903</v>
      </c>
      <c r="F137" s="36">
        <f t="shared" si="53"/>
        <v>31717.66210471673</v>
      </c>
      <c r="G137" s="36">
        <f t="shared" si="53"/>
        <v>38803.58610268237</v>
      </c>
      <c r="H137" s="36">
        <f t="shared" si="53"/>
        <v>35791.0947449872</v>
      </c>
      <c r="I137" s="36">
        <f t="shared" si="53"/>
        <v>38488.73817457853</v>
      </c>
      <c r="J137" s="36">
        <f t="shared" si="53"/>
        <v>40575.46331081507</v>
      </c>
    </row>
    <row r="138" spans="1:10" ht="14.25">
      <c r="A138" s="20" t="s">
        <v>68</v>
      </c>
      <c r="B138" s="20"/>
      <c r="C138" s="36">
        <f aca="true" t="shared" si="54" ref="C138:H138">C137+C135</f>
        <v>36211.08634696959</v>
      </c>
      <c r="D138" s="36">
        <f t="shared" si="54"/>
        <v>35993.54003240903</v>
      </c>
      <c r="E138" s="36">
        <f t="shared" si="54"/>
        <v>31717.66210471673</v>
      </c>
      <c r="F138" s="36">
        <f t="shared" si="54"/>
        <v>38803.58610268237</v>
      </c>
      <c r="G138" s="36">
        <f t="shared" si="54"/>
        <v>35791.0947449872</v>
      </c>
      <c r="H138" s="36">
        <f t="shared" si="54"/>
        <v>38488.73817457853</v>
      </c>
      <c r="I138" s="36">
        <f>I137+I135</f>
        <v>40575.46331081507</v>
      </c>
      <c r="J138" s="36">
        <f>J137+J135</f>
        <v>59505.3027209663</v>
      </c>
    </row>
    <row r="139" spans="1:10" ht="14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</sheetData>
  <sheetProtection/>
  <printOptions/>
  <pageMargins left="0.7" right="0.7" top="0.75" bottom="0.75" header="0.3" footer="0.3"/>
  <pageSetup horizontalDpi="600" verticalDpi="600" orientation="portrait" scale="68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McDermott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CRR</dc:creator>
  <cp:keywords/>
  <dc:description/>
  <cp:lastModifiedBy> Cary Ratterree</cp:lastModifiedBy>
  <dcterms:created xsi:type="dcterms:W3CDTF">2010-07-28T20:43:59Z</dcterms:created>
  <dcterms:modified xsi:type="dcterms:W3CDTF">2010-09-01T19:22:44Z</dcterms:modified>
  <cp:category/>
  <cp:version/>
  <cp:contentType/>
  <cp:contentStatus/>
</cp:coreProperties>
</file>