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740" windowHeight="11190" activeTab="0"/>
  </bookViews>
  <sheets>
    <sheet name="Valuation" sheetId="1" r:id="rId1"/>
    <sheet name="Ship" sheetId="2" r:id="rId2"/>
    <sheet name="Main" sheetId="3" r:id="rId3"/>
    <sheet name="Main (2)" sheetId="4" r:id="rId4"/>
  </sheets>
  <externalReferences>
    <externalReference r:id="rId7"/>
    <externalReference r:id="rId8"/>
  </externalReferences>
  <definedNames>
    <definedName name="_xlnm.Print_Titles" localSheetId="1">'Ship'!$A:$A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<sst xmlns="http://schemas.openxmlformats.org/spreadsheetml/2006/main" count="342" uniqueCount="153">
  <si>
    <t>Revenue</t>
  </si>
  <si>
    <t>Gross Profit</t>
  </si>
  <si>
    <t>Operating Profit</t>
  </si>
  <si>
    <t>Taxes</t>
  </si>
  <si>
    <t>Net Income</t>
  </si>
  <si>
    <t>Income Statement</t>
  </si>
  <si>
    <t>Balance Sheet</t>
  </si>
  <si>
    <t>Accounts Receivable</t>
  </si>
  <si>
    <t>Inventory</t>
  </si>
  <si>
    <t>Current Assets</t>
  </si>
  <si>
    <t>Property, Plant, and Equipment</t>
  </si>
  <si>
    <t>Accumulated Depreciation</t>
  </si>
  <si>
    <t>Property, Plant, and Equipment, Net</t>
  </si>
  <si>
    <t>Total Assets</t>
  </si>
  <si>
    <t>Accounts Payable</t>
  </si>
  <si>
    <t>Other</t>
  </si>
  <si>
    <t>Current Liabilities</t>
  </si>
  <si>
    <t>Inputs:</t>
  </si>
  <si>
    <t>Growth Rate</t>
  </si>
  <si>
    <t>Gross Margin</t>
  </si>
  <si>
    <t>SG&amp;A as a % of revenue</t>
  </si>
  <si>
    <t>Debt and Long Term Liabilities</t>
  </si>
  <si>
    <t>Total Liabilities and Equity</t>
  </si>
  <si>
    <t>Total Liabilities</t>
  </si>
  <si>
    <t>Cash Flow</t>
  </si>
  <si>
    <t>Changes in working capital</t>
  </si>
  <si>
    <t>Cash</t>
  </si>
  <si>
    <t>Total Operating Cash Flow</t>
  </si>
  <si>
    <t>Operating Cash Flow:</t>
  </si>
  <si>
    <t>Investing Cash Flow:</t>
  </si>
  <si>
    <t>Purchases of PP&amp;E (Capital Expenditures)</t>
  </si>
  <si>
    <t>(Payments To) / Borrowings From Bank</t>
  </si>
  <si>
    <t>Financing Cash Flow:</t>
  </si>
  <si>
    <t>Sale of Stock</t>
  </si>
  <si>
    <t>Total Investing Cash Flow</t>
  </si>
  <si>
    <t>Total Financing Cash Flow</t>
  </si>
  <si>
    <t>Net Cash Flow</t>
  </si>
  <si>
    <t>Cash Beginning of Period</t>
  </si>
  <si>
    <t>Cash End of Period</t>
  </si>
  <si>
    <t>Depreciation of Overheads</t>
  </si>
  <si>
    <t>Total SG&amp;A</t>
  </si>
  <si>
    <t>Depreciation</t>
  </si>
  <si>
    <t xml:space="preserve">Shareholder's Equity </t>
  </si>
  <si>
    <t>Retained Earnings</t>
  </si>
  <si>
    <t>Total Equity</t>
  </si>
  <si>
    <t>2.  Sale to Bubba</t>
  </si>
  <si>
    <t>3.  Bubba Pays Early</t>
  </si>
  <si>
    <t>4.  The accountants show up</t>
  </si>
  <si>
    <t>5.  Multiple Activities</t>
  </si>
  <si>
    <t>Period:</t>
  </si>
  <si>
    <t>Depreciable life</t>
  </si>
  <si>
    <t>years</t>
  </si>
  <si>
    <t>Working Capital</t>
  </si>
  <si>
    <t>A/R</t>
  </si>
  <si>
    <t>A/P</t>
  </si>
  <si>
    <t>Days Sales Outstanding</t>
  </si>
  <si>
    <t>Days Cost Outstanding</t>
  </si>
  <si>
    <t>6.  Modeling the Hard Codes</t>
  </si>
  <si>
    <t>Debt Amoritzation</t>
  </si>
  <si>
    <t>Simple Example General Store</t>
  </si>
  <si>
    <t>1.  Start of Store / Basic Structure</t>
  </si>
  <si>
    <t>Accounts Receivable (A/R)</t>
  </si>
  <si>
    <t>Accounts Payable (A/P)</t>
  </si>
  <si>
    <t>Cost of Goods Sold (COGS)</t>
  </si>
  <si>
    <t>Selling, General, &amp; Adminstrative (SG&amp;A) Expenses</t>
  </si>
  <si>
    <t>8. Filling Across the simple model</t>
  </si>
  <si>
    <t>7. Adding interest</t>
  </si>
  <si>
    <t>Interest Income</t>
  </si>
  <si>
    <t>Earnings / Profit Before Tax (EBT)</t>
  </si>
  <si>
    <t>Interest (Expense)</t>
  </si>
  <si>
    <t>Interest Rate on Debt</t>
  </si>
  <si>
    <t>Interest Earnings on Cash</t>
  </si>
  <si>
    <t>Year:</t>
  </si>
  <si>
    <t>Valuation (Beginning Below Row 78)</t>
  </si>
  <si>
    <t>Model</t>
  </si>
  <si>
    <t>Valuation:</t>
  </si>
  <si>
    <t>EBITDA</t>
  </si>
  <si>
    <t>EBITDA multiple</t>
  </si>
  <si>
    <t>Enterprise Value:</t>
  </si>
  <si>
    <t>plus cash</t>
  </si>
  <si>
    <t>less debt</t>
  </si>
  <si>
    <t>Equity Value</t>
  </si>
  <si>
    <t>P/E</t>
  </si>
  <si>
    <t>P/E Ratio</t>
  </si>
  <si>
    <t>DCF</t>
  </si>
  <si>
    <t>Un-levered, NOPLAT</t>
  </si>
  <si>
    <t>Net Cash Flow (levered cash flow "to" equity)</t>
  </si>
  <si>
    <t>remove, Total Financing Cash Flow</t>
  </si>
  <si>
    <t>remove, Interest (Expense)</t>
  </si>
  <si>
    <t>remove, Interest Income</t>
  </si>
  <si>
    <t>remove, tax shelter on Interest Income / (Expense)</t>
  </si>
  <si>
    <t>Unlevered Free Cash Flow</t>
  </si>
  <si>
    <t>Discount Rate</t>
  </si>
  <si>
    <t>Growth Rate (use zero for cap rate CV)</t>
  </si>
  <si>
    <t>Continuing (sometimes "Terminal") Value ("CV")</t>
  </si>
  <si>
    <t>Explicit forecast PV (end of year)</t>
  </si>
  <si>
    <t>Explicit forecast PV (middle of year, xnpv)</t>
  </si>
  <si>
    <t>Explicit forecast PV (middle of year, discount factor)</t>
  </si>
  <si>
    <t>Year</t>
  </si>
  <si>
    <t>Return on Invested Capital ("ROIC")</t>
  </si>
  <si>
    <t>T+1 Cash Flow (un adjusted)</t>
  </si>
  <si>
    <t>T Cash Flow (un adjusted)</t>
  </si>
  <si>
    <t>1 year growth at terminal rate</t>
  </si>
  <si>
    <t>"Ordinary" 2014 A/R</t>
  </si>
  <si>
    <t>2015 A/R</t>
  </si>
  <si>
    <t>Expected w/c change:</t>
  </si>
  <si>
    <t>Remove abnormal A/R movement</t>
  </si>
  <si>
    <t>Add, expected A/R movement</t>
  </si>
  <si>
    <t>Adjusted T Cash Flow</t>
  </si>
  <si>
    <t>Adjusted T+1 Cash Flow</t>
  </si>
  <si>
    <t>Un-levered, Gordon Growth (T+1) / (WACC-g)</t>
  </si>
  <si>
    <t>PV of GG CV, xnpv</t>
  </si>
  <si>
    <t>PV of GG CV, discount factor</t>
  </si>
  <si>
    <t>CV = [NOPLAT*(1-g/ROIC)] / (WACC-g)</t>
  </si>
  <si>
    <t>Gordon Growth Total Enterprise Value</t>
  </si>
  <si>
    <t>PV of Explicit</t>
  </si>
  <si>
    <t>PV of CV</t>
  </si>
  <si>
    <t>Operating Income, year T:</t>
  </si>
  <si>
    <t>Tax on Operating Income</t>
  </si>
  <si>
    <t>Tax Rate</t>
  </si>
  <si>
    <t>NOPLAT</t>
  </si>
  <si>
    <t>CV, NOPLAT</t>
  </si>
  <si>
    <t>PV of CV, NOPLAT</t>
  </si>
  <si>
    <t>NOPLAT Total Enterprise Value</t>
  </si>
  <si>
    <t>Ship Example</t>
  </si>
  <si>
    <t>Operating Cash Flow</t>
  </si>
  <si>
    <t>Ship Cost:</t>
  </si>
  <si>
    <t>Ship accounting life</t>
  </si>
  <si>
    <t>Ship economic life</t>
  </si>
  <si>
    <t>Dry dock cost</t>
  </si>
  <si>
    <t>Capital Expenditures</t>
  </si>
  <si>
    <t>Maintenance CapEx</t>
  </si>
  <si>
    <t>EBT</t>
  </si>
  <si>
    <t>Tax</t>
  </si>
  <si>
    <t>A "Normal" model</t>
  </si>
  <si>
    <t>Value</t>
  </si>
  <si>
    <t>Discount Factor for Ref:</t>
  </si>
  <si>
    <t>Full time DCF:</t>
  </si>
  <si>
    <t>Gordon Growth</t>
  </si>
  <si>
    <t>$ millions</t>
  </si>
  <si>
    <t>CV out period</t>
  </si>
  <si>
    <t>Total</t>
  </si>
  <si>
    <t>Inflation</t>
  </si>
  <si>
    <t>Scrap Value</t>
  </si>
  <si>
    <t>of cost</t>
  </si>
  <si>
    <t>Model Inputs:</t>
  </si>
  <si>
    <t>PV of GG CV, discount factor - EXAMPLE WRONG T+1</t>
  </si>
  <si>
    <t>Then value (what it will be in the future)</t>
  </si>
  <si>
    <t>Current Value (different measures of today's value)</t>
  </si>
  <si>
    <t>Discount Factor</t>
  </si>
  <si>
    <t>Value Re-cap:</t>
  </si>
  <si>
    <t>Full time DCF vs. Gordon Growth</t>
  </si>
  <si>
    <t>Full time DCF vs. NOPLAT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</si>
</sst>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mmm\-yyyy"/>
    <numFmt numFmtId="167" formatCode="0.0%"/>
    <numFmt numFmtId="168" formatCode="[$-409]dddd\,\ mmmm\ dd\,\ yyyy"/>
    <numFmt numFmtId="169" formatCode="[$-409]h:mm:ss\ AM/PM"/>
    <numFmt numFmtId="170" formatCode="_(* #,##0_);_(* \(#,##0\);_(* &quot;-&quot;??_);_(@_)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55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36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 indent="1"/>
    </xf>
    <xf numFmtId="38" fontId="0" fillId="0" borderId="0" xfId="0" applyNumberFormat="1" applyAlignment="1">
      <alignment/>
    </xf>
    <xf numFmtId="38" fontId="36" fillId="0" borderId="1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10" xfId="0" applyNumberFormat="1" applyBorder="1" applyAlignment="1">
      <alignment/>
    </xf>
    <xf numFmtId="0" fontId="0" fillId="0" borderId="0" xfId="0" applyAlignment="1">
      <alignment horizontal="left" indent="2"/>
    </xf>
    <xf numFmtId="38" fontId="36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38" fontId="0" fillId="33" borderId="0" xfId="0" applyNumberFormat="1" applyFill="1" applyAlignment="1">
      <alignment/>
    </xf>
    <xf numFmtId="0" fontId="0" fillId="0" borderId="0" xfId="0" applyAlignment="1">
      <alignment horizontal="left" indent="3"/>
    </xf>
    <xf numFmtId="0" fontId="0" fillId="33" borderId="0" xfId="0" applyFill="1" applyAlignment="1">
      <alignment horizontal="center" wrapText="1"/>
    </xf>
    <xf numFmtId="0" fontId="36" fillId="0" borderId="0" xfId="0" applyFont="1" applyFill="1" applyAlignment="1">
      <alignment/>
    </xf>
    <xf numFmtId="38" fontId="0" fillId="0" borderId="0" xfId="0" applyNumberFormat="1" applyBorder="1" applyAlignment="1">
      <alignment/>
    </xf>
    <xf numFmtId="38" fontId="36" fillId="0" borderId="0" xfId="0" applyNumberFormat="1" applyFont="1" applyBorder="1" applyAlignment="1">
      <alignment/>
    </xf>
    <xf numFmtId="9" fontId="0" fillId="34" borderId="0" xfId="0" applyNumberFormat="1" applyFill="1" applyAlignment="1">
      <alignment/>
    </xf>
    <xf numFmtId="38" fontId="0" fillId="0" borderId="10" xfId="0" applyNumberFormat="1" applyFont="1" applyBorder="1" applyAlignment="1">
      <alignment/>
    </xf>
    <xf numFmtId="3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38" fontId="0" fillId="0" borderId="0" xfId="0" applyNumberFormat="1" applyFont="1" applyFill="1" applyAlignment="1">
      <alignment/>
    </xf>
    <xf numFmtId="38" fontId="0" fillId="10" borderId="0" xfId="0" applyNumberFormat="1" applyFont="1" applyFill="1" applyAlignment="1">
      <alignment/>
    </xf>
    <xf numFmtId="38" fontId="0" fillId="0" borderId="0" xfId="0" applyNumberFormat="1" applyFill="1" applyAlignment="1">
      <alignment/>
    </xf>
    <xf numFmtId="9" fontId="0" fillId="0" borderId="0" xfId="57" applyFont="1" applyAlignment="1">
      <alignment/>
    </xf>
    <xf numFmtId="38" fontId="36" fillId="0" borderId="0" xfId="0" applyNumberFormat="1" applyFont="1" applyAlignment="1">
      <alignment/>
    </xf>
    <xf numFmtId="9" fontId="0" fillId="0" borderId="0" xfId="57" applyFont="1" applyAlignment="1">
      <alignment/>
    </xf>
    <xf numFmtId="38" fontId="38" fillId="0" borderId="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38" fontId="0" fillId="34" borderId="0" xfId="0" applyNumberFormat="1" applyFill="1" applyAlignment="1">
      <alignment horizontal="left" indent="2"/>
    </xf>
    <xf numFmtId="0" fontId="39" fillId="0" borderId="0" xfId="0" applyFont="1" applyAlignment="1">
      <alignment/>
    </xf>
    <xf numFmtId="38" fontId="0" fillId="35" borderId="0" xfId="0" applyNumberFormat="1" applyFill="1" applyAlignment="1">
      <alignment/>
    </xf>
    <xf numFmtId="0" fontId="38" fillId="0" borderId="0" xfId="0" applyFont="1" applyAlignment="1">
      <alignment horizontal="left"/>
    </xf>
    <xf numFmtId="0" fontId="0" fillId="35" borderId="0" xfId="0" applyFill="1" applyAlignment="1">
      <alignment/>
    </xf>
    <xf numFmtId="164" fontId="0" fillId="34" borderId="0" xfId="42" applyNumberFormat="1" applyFont="1" applyFill="1" applyAlignment="1">
      <alignment/>
    </xf>
    <xf numFmtId="0" fontId="38" fillId="0" borderId="0" xfId="0" applyFont="1" applyAlignment="1">
      <alignment/>
    </xf>
    <xf numFmtId="164" fontId="0" fillId="34" borderId="0" xfId="42" applyNumberFormat="1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38" fontId="0" fillId="34" borderId="14" xfId="0" applyNumberFormat="1" applyFill="1" applyBorder="1" applyAlignment="1">
      <alignment/>
    </xf>
    <xf numFmtId="0" fontId="0" fillId="0" borderId="0" xfId="0" applyFill="1" applyBorder="1" applyAlignment="1">
      <alignment horizontal="left" indent="1"/>
    </xf>
    <xf numFmtId="9" fontId="0" fillId="0" borderId="0" xfId="0" applyNumberFormat="1" applyFill="1" applyAlignment="1">
      <alignment/>
    </xf>
    <xf numFmtId="38" fontId="0" fillId="35" borderId="10" xfId="0" applyNumberFormat="1" applyFill="1" applyBorder="1" applyAlignment="1">
      <alignment/>
    </xf>
    <xf numFmtId="43" fontId="0" fillId="0" borderId="0" xfId="0" applyNumberFormat="1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Alignment="1">
      <alignment horizontal="left"/>
    </xf>
    <xf numFmtId="38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left" indent="2"/>
    </xf>
    <xf numFmtId="38" fontId="0" fillId="0" borderId="11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14" fontId="0" fillId="36" borderId="0" xfId="0" applyNumberFormat="1" applyFill="1" applyAlignment="1">
      <alignment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 indent="1"/>
    </xf>
    <xf numFmtId="38" fontId="40" fillId="0" borderId="0" xfId="0" applyNumberFormat="1" applyFont="1" applyAlignment="1">
      <alignment/>
    </xf>
    <xf numFmtId="0" fontId="0" fillId="0" borderId="0" xfId="0" applyFill="1" applyBorder="1" applyAlignment="1">
      <alignment horizontal="left" indent="3"/>
    </xf>
    <xf numFmtId="0" fontId="36" fillId="0" borderId="0" xfId="0" applyFont="1" applyFill="1" applyBorder="1" applyAlignment="1">
      <alignment horizontal="left" indent="1"/>
    </xf>
    <xf numFmtId="38" fontId="0" fillId="0" borderId="11" xfId="0" applyNumberFormat="1" applyBorder="1" applyAlignment="1">
      <alignment/>
    </xf>
    <xf numFmtId="38" fontId="0" fillId="36" borderId="0" xfId="0" applyNumberFormat="1" applyFill="1" applyAlignment="1">
      <alignment/>
    </xf>
    <xf numFmtId="38" fontId="0" fillId="37" borderId="0" xfId="0" applyNumberFormat="1" applyFill="1" applyAlignment="1">
      <alignment/>
    </xf>
    <xf numFmtId="0" fontId="2" fillId="35" borderId="0" xfId="0" applyFont="1" applyFill="1" applyAlignment="1">
      <alignment/>
    </xf>
    <xf numFmtId="0" fontId="36" fillId="35" borderId="0" xfId="0" applyFont="1" applyFill="1" applyAlignment="1">
      <alignment/>
    </xf>
    <xf numFmtId="38" fontId="36" fillId="35" borderId="0" xfId="0" applyNumberFormat="1" applyFont="1" applyFill="1" applyAlignment="1">
      <alignment/>
    </xf>
    <xf numFmtId="38" fontId="39" fillId="0" borderId="0" xfId="0" applyNumberFormat="1" applyFont="1" applyAlignment="1">
      <alignment/>
    </xf>
    <xf numFmtId="167" fontId="0" fillId="34" borderId="0" xfId="0" applyNumberFormat="1" applyFill="1" applyAlignment="1">
      <alignment/>
    </xf>
    <xf numFmtId="9" fontId="0" fillId="0" borderId="0" xfId="0" applyNumberFormat="1" applyAlignment="1">
      <alignment/>
    </xf>
    <xf numFmtId="0" fontId="0" fillId="38" borderId="0" xfId="0" applyFill="1" applyAlignment="1">
      <alignment horizontal="left" indent="2"/>
    </xf>
    <xf numFmtId="38" fontId="0" fillId="38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9" fontId="0" fillId="0" borderId="0" xfId="57" applyFont="1" applyAlignment="1">
      <alignment/>
    </xf>
    <xf numFmtId="170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enario_dialog"/>
      <sheetName val="Save_dialog"/>
      <sheetName val="Options_dialog"/>
      <sheetName val="Add_dialog"/>
      <sheetName val="Show_dialog"/>
      <sheetName val="Finish_dialog"/>
      <sheetName val="Solver_dialog"/>
      <sheetName val="VBA_Functions"/>
      <sheetName val="Excel4Functions"/>
      <sheetName val="Langu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46.875" style="0" bestFit="1" customWidth="1"/>
    <col min="2" max="2" width="9.25390625" style="0" bestFit="1" customWidth="1"/>
    <col min="3" max="3" width="10.125" style="0" bestFit="1" customWidth="1"/>
    <col min="4" max="7" width="9.375" style="0" customWidth="1"/>
    <col min="8" max="8" width="10.125" style="0" bestFit="1" customWidth="1"/>
  </cols>
  <sheetData>
    <row r="1" ht="15">
      <c r="A1" s="2" t="s">
        <v>59</v>
      </c>
    </row>
    <row r="2" spans="1:4" ht="15">
      <c r="A2" s="2" t="s">
        <v>73</v>
      </c>
      <c r="D2" s="32" t="s">
        <v>74</v>
      </c>
    </row>
    <row r="3" spans="1:8" ht="15" thickBot="1">
      <c r="A3" t="s">
        <v>72</v>
      </c>
      <c r="C3" s="30">
        <v>2010</v>
      </c>
      <c r="D3" s="30">
        <v>2011</v>
      </c>
      <c r="E3" s="30">
        <v>2012</v>
      </c>
      <c r="F3" s="30">
        <v>2013</v>
      </c>
      <c r="G3" s="30">
        <v>2014</v>
      </c>
      <c r="H3" s="30">
        <v>2015</v>
      </c>
    </row>
    <row r="4" spans="3:5" ht="14.25">
      <c r="C4" s="3"/>
      <c r="D4" s="3"/>
      <c r="E4" s="3"/>
    </row>
    <row r="5" spans="1:8" ht="14.25">
      <c r="A5" s="12"/>
      <c r="B5" s="12"/>
      <c r="C5" s="15"/>
      <c r="D5" s="12"/>
      <c r="E5" s="12"/>
      <c r="F5" s="12"/>
      <c r="G5" s="12"/>
      <c r="H5" s="12"/>
    </row>
    <row r="6" spans="1:2" ht="15">
      <c r="A6" s="16" t="s">
        <v>5</v>
      </c>
      <c r="B6" s="16"/>
    </row>
    <row r="7" spans="1:8" ht="14.25">
      <c r="A7" s="1" t="s">
        <v>0</v>
      </c>
      <c r="B7" s="1"/>
      <c r="C7" s="21">
        <v>10000</v>
      </c>
      <c r="D7" s="6">
        <f>C7*(1+$C$175)</f>
        <v>11000</v>
      </c>
      <c r="E7" s="6">
        <f>D7*(1+$C$175)</f>
        <v>12100.000000000002</v>
      </c>
      <c r="F7" s="6">
        <f>E7*(1+$C$175)</f>
        <v>13310.000000000004</v>
      </c>
      <c r="G7" s="6">
        <f>F7*(1+$C$175)</f>
        <v>14641.000000000005</v>
      </c>
      <c r="H7" s="6">
        <f>G7*(1+$C$175)</f>
        <v>16105.100000000008</v>
      </c>
    </row>
    <row r="8" spans="1:8" ht="14.25">
      <c r="A8" s="1" t="s">
        <v>63</v>
      </c>
      <c r="B8" s="1"/>
      <c r="C8" s="6">
        <f aca="true" t="shared" si="0" ref="C8:H8">C7*(1-$C$176)</f>
        <v>7500</v>
      </c>
      <c r="D8" s="6">
        <f t="shared" si="0"/>
        <v>8250</v>
      </c>
      <c r="E8" s="6">
        <f t="shared" si="0"/>
        <v>9075.000000000002</v>
      </c>
      <c r="F8" s="6">
        <f t="shared" si="0"/>
        <v>9982.500000000004</v>
      </c>
      <c r="G8" s="6">
        <f t="shared" si="0"/>
        <v>10980.750000000004</v>
      </c>
      <c r="H8" s="6">
        <f t="shared" si="0"/>
        <v>12078.825000000006</v>
      </c>
    </row>
    <row r="9" spans="1:8" ht="15">
      <c r="A9" s="5" t="s">
        <v>1</v>
      </c>
      <c r="B9" s="5"/>
      <c r="C9" s="7">
        <f aca="true" t="shared" si="1" ref="C9:H9">C7-C8</f>
        <v>2500</v>
      </c>
      <c r="D9" s="7">
        <f t="shared" si="1"/>
        <v>2750</v>
      </c>
      <c r="E9" s="7">
        <f t="shared" si="1"/>
        <v>3025</v>
      </c>
      <c r="F9" s="7">
        <f t="shared" si="1"/>
        <v>3327.5</v>
      </c>
      <c r="G9" s="7">
        <f t="shared" si="1"/>
        <v>3660.250000000002</v>
      </c>
      <c r="H9" s="7">
        <f t="shared" si="1"/>
        <v>4026.2750000000015</v>
      </c>
    </row>
    <row r="10" spans="1:8" ht="14.25">
      <c r="A10" s="1"/>
      <c r="B10" s="1"/>
      <c r="C10" s="6"/>
      <c r="D10" s="28"/>
      <c r="E10" s="28"/>
      <c r="F10" s="6"/>
      <c r="G10" s="6"/>
      <c r="H10" s="6"/>
    </row>
    <row r="11" spans="1:8" ht="14.25">
      <c r="A11" s="10" t="s">
        <v>64</v>
      </c>
      <c r="B11" s="1"/>
      <c r="C11" s="8">
        <f aca="true" t="shared" si="2" ref="C11:H11">C7*$C$178</f>
        <v>1000</v>
      </c>
      <c r="D11" s="8">
        <f t="shared" si="2"/>
        <v>1100</v>
      </c>
      <c r="E11" s="8">
        <f t="shared" si="2"/>
        <v>1210.0000000000002</v>
      </c>
      <c r="F11" s="8">
        <f t="shared" si="2"/>
        <v>1331.0000000000005</v>
      </c>
      <c r="G11" s="8">
        <f t="shared" si="2"/>
        <v>1464.1000000000006</v>
      </c>
      <c r="H11" s="8">
        <f t="shared" si="2"/>
        <v>1610.510000000001</v>
      </c>
    </row>
    <row r="12" spans="1:8" ht="14.25">
      <c r="A12" s="10" t="s">
        <v>39</v>
      </c>
      <c r="B12" s="1"/>
      <c r="C12" s="21">
        <v>100</v>
      </c>
      <c r="D12" s="23">
        <f>D32/$C$181</f>
        <v>110</v>
      </c>
      <c r="E12" s="23">
        <f>E32/$C$181</f>
        <v>120</v>
      </c>
      <c r="F12" s="23">
        <f>F32/$C$181</f>
        <v>130</v>
      </c>
      <c r="G12" s="23">
        <f>G32/$C$181</f>
        <v>140</v>
      </c>
      <c r="H12" s="23">
        <f>H32/$C$181</f>
        <v>150</v>
      </c>
    </row>
    <row r="13" spans="1:8" ht="14.25">
      <c r="A13" s="1" t="s">
        <v>40</v>
      </c>
      <c r="B13" s="1"/>
      <c r="C13" s="20">
        <f aca="true" t="shared" si="3" ref="C13:H13">SUM(C11:C12)</f>
        <v>1100</v>
      </c>
      <c r="D13" s="20">
        <f t="shared" si="3"/>
        <v>1210</v>
      </c>
      <c r="E13" s="20">
        <f t="shared" si="3"/>
        <v>1330.0000000000002</v>
      </c>
      <c r="F13" s="20">
        <f t="shared" si="3"/>
        <v>1461.0000000000005</v>
      </c>
      <c r="G13" s="20">
        <f t="shared" si="3"/>
        <v>1604.1000000000006</v>
      </c>
      <c r="H13" s="20">
        <f t="shared" si="3"/>
        <v>1760.510000000001</v>
      </c>
    </row>
    <row r="14" spans="1:8" ht="14.25">
      <c r="A14" s="1"/>
      <c r="B14" s="1"/>
      <c r="C14" s="6"/>
      <c r="D14" s="6"/>
      <c r="E14" s="6"/>
      <c r="F14" s="6"/>
      <c r="G14" s="6"/>
      <c r="H14" s="6"/>
    </row>
    <row r="15" spans="1:8" ht="15">
      <c r="A15" s="5" t="s">
        <v>2</v>
      </c>
      <c r="B15" s="5"/>
      <c r="C15" s="27">
        <f aca="true" t="shared" si="4" ref="C15:H15">C9-C13</f>
        <v>1400</v>
      </c>
      <c r="D15" s="27">
        <f t="shared" si="4"/>
        <v>1540</v>
      </c>
      <c r="E15" s="27">
        <f t="shared" si="4"/>
        <v>1694.9999999999998</v>
      </c>
      <c r="F15" s="27">
        <f t="shared" si="4"/>
        <v>1866.4999999999995</v>
      </c>
      <c r="G15" s="27">
        <f t="shared" si="4"/>
        <v>2056.1500000000015</v>
      </c>
      <c r="H15" s="27">
        <f t="shared" si="4"/>
        <v>2265.7650000000003</v>
      </c>
    </row>
    <row r="16" spans="1:8" ht="14.25">
      <c r="A16" s="1"/>
      <c r="B16" s="1"/>
      <c r="C16" s="6"/>
      <c r="D16" s="6"/>
      <c r="E16" s="6"/>
      <c r="F16" s="6"/>
      <c r="G16" s="6"/>
      <c r="H16" s="6"/>
    </row>
    <row r="17" spans="1:8" ht="14.25">
      <c r="A17" s="1" t="s">
        <v>69</v>
      </c>
      <c r="B17" s="1"/>
      <c r="C17" s="6">
        <f aca="true" t="shared" si="5" ref="C17:H17">-$C$189*AVERAGE(B42:C42)</f>
        <v>-222.85714285714286</v>
      </c>
      <c r="D17" s="6">
        <f t="shared" si="5"/>
        <v>-188.57142857142858</v>
      </c>
      <c r="E17" s="6">
        <f t="shared" si="5"/>
        <v>-154.2857142857143</v>
      </c>
      <c r="F17" s="6">
        <f t="shared" si="5"/>
        <v>-120.00000000000004</v>
      </c>
      <c r="G17" s="6">
        <f t="shared" si="5"/>
        <v>-85.71428571428577</v>
      </c>
      <c r="H17" s="6">
        <f t="shared" si="5"/>
        <v>-51.428571428571466</v>
      </c>
    </row>
    <row r="18" spans="1:8" ht="14.25">
      <c r="A18" s="1" t="s">
        <v>67</v>
      </c>
      <c r="B18" s="1"/>
      <c r="C18" s="6">
        <f aca="true" t="shared" si="6" ref="C18:H18">$C$190*AVERAGE(B27:C27)</f>
        <v>104.10084006577654</v>
      </c>
      <c r="D18" s="6">
        <f t="shared" si="6"/>
        <v>106.63710733781427</v>
      </c>
      <c r="E18" s="6">
        <f t="shared" si="6"/>
        <v>112.35745267154331</v>
      </c>
      <c r="F18" s="6">
        <f t="shared" si="6"/>
        <v>119.42783631868718</v>
      </c>
      <c r="G18" s="6">
        <f t="shared" si="6"/>
        <v>121.45817620675302</v>
      </c>
      <c r="H18" s="6">
        <f t="shared" si="6"/>
        <v>131.54012854700704</v>
      </c>
    </row>
    <row r="19" spans="1:8" ht="14.25">
      <c r="A19" s="1"/>
      <c r="B19" s="1"/>
      <c r="C19" s="6"/>
      <c r="D19" s="6"/>
      <c r="E19" s="6"/>
      <c r="F19" s="6"/>
      <c r="G19" s="6"/>
      <c r="H19" s="6"/>
    </row>
    <row r="20" spans="1:8" ht="15">
      <c r="A20" s="5" t="s">
        <v>68</v>
      </c>
      <c r="B20" s="5"/>
      <c r="C20" s="27">
        <f aca="true" t="shared" si="7" ref="C20:H20">C15+C17+C18</f>
        <v>1281.2436972086336</v>
      </c>
      <c r="D20" s="27">
        <f t="shared" si="7"/>
        <v>1458.0656787663856</v>
      </c>
      <c r="E20" s="27">
        <f t="shared" si="7"/>
        <v>1653.071738385829</v>
      </c>
      <c r="F20" s="27">
        <f t="shared" si="7"/>
        <v>1865.9278363186868</v>
      </c>
      <c r="G20" s="27">
        <f t="shared" si="7"/>
        <v>2091.893890492469</v>
      </c>
      <c r="H20" s="27">
        <f t="shared" si="7"/>
        <v>2345.876557118436</v>
      </c>
    </row>
    <row r="21" spans="1:8" ht="14.25">
      <c r="A21" s="1" t="s">
        <v>3</v>
      </c>
      <c r="B21" s="1"/>
      <c r="C21" s="6">
        <f aca="true" t="shared" si="8" ref="C21:H21">$C$179*C20</f>
        <v>448.43529402302175</v>
      </c>
      <c r="D21" s="6">
        <f t="shared" si="8"/>
        <v>510.32298756823496</v>
      </c>
      <c r="E21" s="6">
        <f t="shared" si="8"/>
        <v>578.5751084350401</v>
      </c>
      <c r="F21" s="6">
        <f t="shared" si="8"/>
        <v>653.0747427115404</v>
      </c>
      <c r="G21" s="6">
        <f t="shared" si="8"/>
        <v>732.1628616723641</v>
      </c>
      <c r="H21" s="6">
        <f t="shared" si="8"/>
        <v>821.0567949914525</v>
      </c>
    </row>
    <row r="22" spans="1:8" ht="14.25">
      <c r="A22" s="1"/>
      <c r="B22" s="1"/>
      <c r="C22" s="6"/>
      <c r="D22" s="6"/>
      <c r="E22" s="6"/>
      <c r="F22" s="6"/>
      <c r="G22" s="6"/>
      <c r="H22" s="6"/>
    </row>
    <row r="23" spans="1:8" ht="15.75" thickBot="1">
      <c r="A23" s="5" t="s">
        <v>4</v>
      </c>
      <c r="B23" s="5"/>
      <c r="C23" s="11">
        <f aca="true" t="shared" si="9" ref="C23:H23">C20-C21</f>
        <v>832.808403185612</v>
      </c>
      <c r="D23" s="11">
        <f t="shared" si="9"/>
        <v>947.7426911981506</v>
      </c>
      <c r="E23" s="11">
        <f t="shared" si="9"/>
        <v>1074.4966299507887</v>
      </c>
      <c r="F23" s="11">
        <f t="shared" si="9"/>
        <v>1212.8530936071465</v>
      </c>
      <c r="G23" s="11">
        <f t="shared" si="9"/>
        <v>1359.7310288201047</v>
      </c>
      <c r="H23" s="11">
        <f t="shared" si="9"/>
        <v>1524.8197621269833</v>
      </c>
    </row>
    <row r="24" spans="1:8" ht="15" thickTop="1">
      <c r="A24" s="12"/>
      <c r="B24" s="12"/>
      <c r="C24" s="13"/>
      <c r="D24" s="12"/>
      <c r="E24" s="12"/>
      <c r="F24" s="12"/>
      <c r="G24" s="12"/>
      <c r="H24" s="12"/>
    </row>
    <row r="25" spans="1:3" ht="15">
      <c r="A25" s="16" t="s">
        <v>6</v>
      </c>
      <c r="B25" s="16"/>
      <c r="C25" s="6"/>
    </row>
    <row r="26" ht="14.25">
      <c r="C26" s="6"/>
    </row>
    <row r="27" spans="1:8" ht="15" thickBot="1">
      <c r="A27" s="10" t="s">
        <v>26</v>
      </c>
      <c r="B27" s="72"/>
      <c r="C27" s="6">
        <f aca="true" t="shared" si="10" ref="C27:H27">C77</f>
        <v>10410.084006577654</v>
      </c>
      <c r="D27" s="6">
        <f t="shared" si="10"/>
        <v>10917.337460985198</v>
      </c>
      <c r="E27" s="6">
        <f t="shared" si="10"/>
        <v>11554.153073323463</v>
      </c>
      <c r="F27" s="6">
        <f t="shared" si="10"/>
        <v>12331.414190413976</v>
      </c>
      <c r="G27" s="6">
        <f t="shared" si="10"/>
        <v>11960.221050936625</v>
      </c>
      <c r="H27" s="6">
        <f t="shared" si="10"/>
        <v>14347.804658464782</v>
      </c>
    </row>
    <row r="28" spans="1:8" ht="15" thickBot="1">
      <c r="A28" s="10" t="s">
        <v>61</v>
      </c>
      <c r="B28" s="10"/>
      <c r="C28" s="25">
        <f>C7/365*$C$184</f>
        <v>821.917808219178</v>
      </c>
      <c r="D28" s="25">
        <f>D7/365*$C$184</f>
        <v>904.1095890410959</v>
      </c>
      <c r="E28" s="25">
        <f>E7/365*$C$184</f>
        <v>994.5205479452055</v>
      </c>
      <c r="F28" s="25">
        <f>F7/365*$C$184</f>
        <v>1093.9726027397262</v>
      </c>
      <c r="G28" s="43">
        <v>2500</v>
      </c>
      <c r="H28" s="25">
        <f>H7/365*$C$184</f>
        <v>1323.7068493150691</v>
      </c>
    </row>
    <row r="29" spans="1:8" ht="14.25">
      <c r="A29" s="10" t="s">
        <v>8</v>
      </c>
      <c r="B29" s="10"/>
      <c r="C29" s="25">
        <f aca="true" t="shared" si="11" ref="C29:H29">C8/365*$C$186</f>
        <v>616.4383561643835</v>
      </c>
      <c r="D29" s="25">
        <f t="shared" si="11"/>
        <v>678.082191780822</v>
      </c>
      <c r="E29" s="25">
        <f t="shared" si="11"/>
        <v>745.8904109589042</v>
      </c>
      <c r="F29" s="25">
        <f t="shared" si="11"/>
        <v>820.4794520547948</v>
      </c>
      <c r="G29" s="25">
        <f t="shared" si="11"/>
        <v>902.5273972602743</v>
      </c>
      <c r="H29" s="25">
        <f t="shared" si="11"/>
        <v>992.780136986302</v>
      </c>
    </row>
    <row r="30" spans="1:8" ht="14.25">
      <c r="A30" s="1" t="s">
        <v>9</v>
      </c>
      <c r="B30" s="1"/>
      <c r="C30" s="9">
        <f aca="true" t="shared" si="12" ref="C30:H30">SUM(C27:C29)</f>
        <v>11848.440170961214</v>
      </c>
      <c r="D30" s="9">
        <f t="shared" si="12"/>
        <v>12499.529241807117</v>
      </c>
      <c r="E30" s="9">
        <f t="shared" si="12"/>
        <v>13294.564032227572</v>
      </c>
      <c r="F30" s="9">
        <f t="shared" si="12"/>
        <v>14245.866245208497</v>
      </c>
      <c r="G30" s="9">
        <f t="shared" si="12"/>
        <v>15362.748448196899</v>
      </c>
      <c r="H30" s="9">
        <f t="shared" si="12"/>
        <v>16664.291644766152</v>
      </c>
    </row>
    <row r="31" spans="1:8" ht="14.25">
      <c r="A31" s="1"/>
      <c r="B31" s="1"/>
      <c r="C31" s="6"/>
      <c r="D31" s="6"/>
      <c r="E31" s="6"/>
      <c r="F31" s="6"/>
      <c r="G31" s="6"/>
      <c r="H31" s="6"/>
    </row>
    <row r="32" spans="1:8" ht="14.25">
      <c r="A32" s="10" t="s">
        <v>10</v>
      </c>
      <c r="B32" s="10"/>
      <c r="C32" s="21">
        <v>500</v>
      </c>
      <c r="D32" s="6">
        <f>C32-D66</f>
        <v>550</v>
      </c>
      <c r="E32" s="6">
        <f>D32-E66</f>
        <v>600</v>
      </c>
      <c r="F32" s="6">
        <f>E32-F66</f>
        <v>650</v>
      </c>
      <c r="G32" s="6">
        <f>F32-G66</f>
        <v>700</v>
      </c>
      <c r="H32" s="6">
        <f>G32-H66</f>
        <v>750</v>
      </c>
    </row>
    <row r="33" spans="1:8" ht="14.25">
      <c r="A33" s="10" t="s">
        <v>11</v>
      </c>
      <c r="B33" s="10"/>
      <c r="C33" s="21">
        <v>41.66666666666667</v>
      </c>
      <c r="D33" s="6">
        <f>C33+D12</f>
        <v>151.66666666666669</v>
      </c>
      <c r="E33" s="6">
        <f>D33+E12</f>
        <v>271.6666666666667</v>
      </c>
      <c r="F33" s="6">
        <f>E33+F12</f>
        <v>401.6666666666667</v>
      </c>
      <c r="G33" s="6">
        <f>F33+G12</f>
        <v>541.6666666666667</v>
      </c>
      <c r="H33" s="6">
        <f>G33+H12</f>
        <v>691.6666666666667</v>
      </c>
    </row>
    <row r="34" spans="1:8" ht="14.25">
      <c r="A34" s="1" t="s">
        <v>12</v>
      </c>
      <c r="B34" s="1"/>
      <c r="C34" s="9">
        <f aca="true" t="shared" si="13" ref="C34:H34">C32-C33</f>
        <v>458.3333333333333</v>
      </c>
      <c r="D34" s="9">
        <f t="shared" si="13"/>
        <v>398.3333333333333</v>
      </c>
      <c r="E34" s="9">
        <f t="shared" si="13"/>
        <v>328.3333333333333</v>
      </c>
      <c r="F34" s="9">
        <f t="shared" si="13"/>
        <v>248.33333333333331</v>
      </c>
      <c r="G34" s="9">
        <f t="shared" si="13"/>
        <v>158.33333333333326</v>
      </c>
      <c r="H34" s="9">
        <f t="shared" si="13"/>
        <v>58.33333333333326</v>
      </c>
    </row>
    <row r="35" spans="1:8" ht="14.25">
      <c r="A35" s="1"/>
      <c r="B35" s="1"/>
      <c r="C35" s="6"/>
      <c r="D35" s="6"/>
      <c r="E35" s="6"/>
      <c r="F35" s="6"/>
      <c r="G35" s="6"/>
      <c r="H35" s="6"/>
    </row>
    <row r="36" spans="1:8" ht="15.75" thickBot="1">
      <c r="A36" s="5" t="s">
        <v>13</v>
      </c>
      <c r="B36" s="5"/>
      <c r="C36" s="11">
        <f aca="true" t="shared" si="14" ref="C36:H36">C34+C30</f>
        <v>12306.773504294548</v>
      </c>
      <c r="D36" s="11">
        <f t="shared" si="14"/>
        <v>12897.86257514045</v>
      </c>
      <c r="E36" s="11">
        <f t="shared" si="14"/>
        <v>13622.897365560906</v>
      </c>
      <c r="F36" s="11">
        <f t="shared" si="14"/>
        <v>14494.199578541831</v>
      </c>
      <c r="G36" s="11">
        <f t="shared" si="14"/>
        <v>15521.081781530233</v>
      </c>
      <c r="H36" s="11">
        <f t="shared" si="14"/>
        <v>16722.624978099484</v>
      </c>
    </row>
    <row r="37" spans="1:8" ht="15" thickTop="1">
      <c r="A37" s="1"/>
      <c r="B37" s="1"/>
      <c r="C37" s="6"/>
      <c r="D37" s="6"/>
      <c r="E37" s="6"/>
      <c r="F37" s="6"/>
      <c r="G37" s="6"/>
      <c r="H37" s="6"/>
    </row>
    <row r="38" spans="1:8" ht="14.25">
      <c r="A38" s="10" t="s">
        <v>62</v>
      </c>
      <c r="B38" s="10"/>
      <c r="C38" s="25">
        <f aca="true" t="shared" si="15" ref="C38:H38">C8/365*$C$185</f>
        <v>719.1780821917807</v>
      </c>
      <c r="D38" s="25">
        <f t="shared" si="15"/>
        <v>791.0958904109589</v>
      </c>
      <c r="E38" s="25">
        <f t="shared" si="15"/>
        <v>870.205479452055</v>
      </c>
      <c r="F38" s="25">
        <f t="shared" si="15"/>
        <v>957.2260273972606</v>
      </c>
      <c r="G38" s="25">
        <f t="shared" si="15"/>
        <v>1052.9486301369866</v>
      </c>
      <c r="H38" s="25">
        <f t="shared" si="15"/>
        <v>1158.2434931506857</v>
      </c>
    </row>
    <row r="39" spans="1:8" ht="14.25">
      <c r="A39" s="10" t="s">
        <v>15</v>
      </c>
      <c r="B39" s="10"/>
      <c r="C39" s="21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</row>
    <row r="40" spans="1:8" ht="14.25">
      <c r="A40" s="1" t="s">
        <v>16</v>
      </c>
      <c r="B40" s="1"/>
      <c r="C40" s="9">
        <f aca="true" t="shared" si="16" ref="C40:H40">SUM(C38:C39)</f>
        <v>719.1780821917807</v>
      </c>
      <c r="D40" s="9">
        <f t="shared" si="16"/>
        <v>791.0958904109589</v>
      </c>
      <c r="E40" s="9">
        <f t="shared" si="16"/>
        <v>870.205479452055</v>
      </c>
      <c r="F40" s="9">
        <f t="shared" si="16"/>
        <v>957.2260273972606</v>
      </c>
      <c r="G40" s="9">
        <f t="shared" si="16"/>
        <v>1052.9486301369866</v>
      </c>
      <c r="H40" s="9">
        <f t="shared" si="16"/>
        <v>1158.2434931506857</v>
      </c>
    </row>
    <row r="41" spans="1:8" ht="14.25">
      <c r="A41" s="1"/>
      <c r="B41" s="1"/>
      <c r="C41" s="6"/>
      <c r="D41" s="6"/>
      <c r="E41" s="6"/>
      <c r="F41" s="6"/>
      <c r="G41" s="6"/>
      <c r="H41" s="6"/>
    </row>
    <row r="42" spans="1:8" ht="14.25">
      <c r="A42" s="1" t="s">
        <v>21</v>
      </c>
      <c r="B42" s="73">
        <f>B70</f>
        <v>3000</v>
      </c>
      <c r="C42" s="6">
        <f aca="true" t="shared" si="17" ref="C42:H42">B42+C70</f>
        <v>2571.4285714285716</v>
      </c>
      <c r="D42" s="6">
        <f t="shared" si="17"/>
        <v>2142.857142857143</v>
      </c>
      <c r="E42" s="6">
        <f t="shared" si="17"/>
        <v>1714.2857142857147</v>
      </c>
      <c r="F42" s="6">
        <f t="shared" si="17"/>
        <v>1285.7142857142862</v>
      </c>
      <c r="G42" s="6">
        <f t="shared" si="17"/>
        <v>857.1428571428577</v>
      </c>
      <c r="H42" s="6">
        <f t="shared" si="17"/>
        <v>428.5714285714291</v>
      </c>
    </row>
    <row r="43" spans="1:2" ht="14.25">
      <c r="A43" s="1"/>
      <c r="B43" s="1"/>
    </row>
    <row r="44" spans="1:8" ht="14.25">
      <c r="A44" s="1" t="s">
        <v>23</v>
      </c>
      <c r="B44" s="1"/>
      <c r="C44" s="6">
        <f aca="true" t="shared" si="18" ref="C44:H44">C42+C40</f>
        <v>3290.6066536203525</v>
      </c>
      <c r="D44" s="6">
        <f t="shared" si="18"/>
        <v>2933.953033268102</v>
      </c>
      <c r="E44" s="6">
        <f t="shared" si="18"/>
        <v>2584.4911937377697</v>
      </c>
      <c r="F44" s="6">
        <f t="shared" si="18"/>
        <v>2242.940313111547</v>
      </c>
      <c r="G44" s="6">
        <f t="shared" si="18"/>
        <v>1910.0914872798444</v>
      </c>
      <c r="H44" s="6">
        <f t="shared" si="18"/>
        <v>1586.8149217221148</v>
      </c>
    </row>
    <row r="45" spans="1:2" ht="14.25">
      <c r="A45" s="1"/>
      <c r="B45" s="1"/>
    </row>
    <row r="46" spans="1:8" ht="14.25">
      <c r="A46" s="10" t="s">
        <v>42</v>
      </c>
      <c r="B46" s="1"/>
      <c r="C46" s="21">
        <f>C36-C44-C47</f>
        <v>8183.358447488583</v>
      </c>
      <c r="D46" s="6">
        <f>C46+D71</f>
        <v>8183.358447488583</v>
      </c>
      <c r="E46" s="6">
        <f>D46+E71</f>
        <v>8183.358447488583</v>
      </c>
      <c r="F46" s="6">
        <f>E46+F71</f>
        <v>8183.358447488583</v>
      </c>
      <c r="G46" s="6">
        <f>F46+G71</f>
        <v>8183.358447488583</v>
      </c>
      <c r="H46" s="6">
        <f>G46+H71</f>
        <v>8183.358447488583</v>
      </c>
    </row>
    <row r="47" spans="1:8" ht="14.25">
      <c r="A47" s="10" t="s">
        <v>43</v>
      </c>
      <c r="B47" s="1"/>
      <c r="C47" s="21">
        <f>C56</f>
        <v>832.808403185612</v>
      </c>
      <c r="D47" s="6">
        <f>C47+D23</f>
        <v>1780.5510943837626</v>
      </c>
      <c r="E47" s="6">
        <f>D47+E23</f>
        <v>2855.0477243345513</v>
      </c>
      <c r="F47" s="6">
        <f>E47+F23</f>
        <v>4067.900817941698</v>
      </c>
      <c r="G47" s="6">
        <f>F47+G23</f>
        <v>5427.631846761802</v>
      </c>
      <c r="H47" s="6">
        <f>G47+H23</f>
        <v>6952.451608888785</v>
      </c>
    </row>
    <row r="48" spans="1:8" ht="14.25">
      <c r="A48" s="1" t="s">
        <v>44</v>
      </c>
      <c r="B48" s="1"/>
      <c r="C48" s="9">
        <f aca="true" t="shared" si="19" ref="C48:H48">SUM(C46:C47)</f>
        <v>9016.166850674195</v>
      </c>
      <c r="D48" s="9">
        <f t="shared" si="19"/>
        <v>9963.909541872345</v>
      </c>
      <c r="E48" s="9">
        <f t="shared" si="19"/>
        <v>11038.406171823135</v>
      </c>
      <c r="F48" s="9">
        <f t="shared" si="19"/>
        <v>12251.25926543028</v>
      </c>
      <c r="G48" s="9">
        <f t="shared" si="19"/>
        <v>13610.990294250385</v>
      </c>
      <c r="H48" s="9">
        <f t="shared" si="19"/>
        <v>15135.810056377368</v>
      </c>
    </row>
    <row r="49" spans="1:2" ht="14.25">
      <c r="A49" s="1"/>
      <c r="B49" s="1"/>
    </row>
    <row r="50" spans="1:8" ht="15.75" thickBot="1">
      <c r="A50" s="5" t="s">
        <v>22</v>
      </c>
      <c r="B50" s="5"/>
      <c r="C50" s="11">
        <f aca="true" t="shared" si="20" ref="C50:H50">C48+C44</f>
        <v>12306.773504294548</v>
      </c>
      <c r="D50" s="11">
        <f t="shared" si="20"/>
        <v>12897.862575140447</v>
      </c>
      <c r="E50" s="11">
        <f t="shared" si="20"/>
        <v>13622.897365560904</v>
      </c>
      <c r="F50" s="11">
        <f t="shared" si="20"/>
        <v>14494.199578541828</v>
      </c>
      <c r="G50" s="11">
        <f t="shared" si="20"/>
        <v>15521.081781530229</v>
      </c>
      <c r="H50" s="11">
        <f t="shared" si="20"/>
        <v>16722.624978099484</v>
      </c>
    </row>
    <row r="51" spans="1:8" ht="15.75" thickTop="1">
      <c r="A51" s="5"/>
      <c r="B51" s="5"/>
      <c r="C51" s="29">
        <f aca="true" t="shared" si="21" ref="C51:H51">IF(ABS(C50-C36)&gt;0.01,"ERR"&amp;C36-C50,"")</f>
      </c>
      <c r="D51" s="29">
        <f t="shared" si="21"/>
      </c>
      <c r="E51" s="29">
        <f t="shared" si="21"/>
      </c>
      <c r="F51" s="29">
        <f t="shared" si="21"/>
      </c>
      <c r="G51" s="29">
        <f t="shared" si="21"/>
      </c>
      <c r="H51" s="29">
        <f t="shared" si="21"/>
      </c>
    </row>
    <row r="52" spans="1:8" ht="14.25">
      <c r="A52" s="12"/>
      <c r="B52" s="12"/>
      <c r="C52" s="12"/>
      <c r="D52" s="12"/>
      <c r="E52" s="12"/>
      <c r="F52" s="12"/>
      <c r="G52" s="12"/>
      <c r="H52" s="12"/>
    </row>
    <row r="53" spans="1:2" ht="15">
      <c r="A53" s="2" t="s">
        <v>24</v>
      </c>
      <c r="B53" s="2"/>
    </row>
    <row r="55" spans="1:2" ht="14.25">
      <c r="A55" s="1" t="s">
        <v>28</v>
      </c>
      <c r="B55" s="1"/>
    </row>
    <row r="56" spans="1:8" ht="14.25">
      <c r="A56" s="10" t="s">
        <v>4</v>
      </c>
      <c r="B56" s="10"/>
      <c r="C56" s="25">
        <f aca="true" t="shared" si="22" ref="C56:H56">C23</f>
        <v>832.808403185612</v>
      </c>
      <c r="D56" s="6">
        <f t="shared" si="22"/>
        <v>947.7426911981506</v>
      </c>
      <c r="E56" s="6">
        <f t="shared" si="22"/>
        <v>1074.4966299507887</v>
      </c>
      <c r="F56" s="6">
        <f t="shared" si="22"/>
        <v>1212.8530936071465</v>
      </c>
      <c r="G56" s="6">
        <f t="shared" si="22"/>
        <v>1359.7310288201047</v>
      </c>
      <c r="H56" s="6">
        <f t="shared" si="22"/>
        <v>1524.8197621269833</v>
      </c>
    </row>
    <row r="57" spans="1:8" ht="14.25">
      <c r="A57" s="10" t="s">
        <v>41</v>
      </c>
      <c r="B57" s="10"/>
      <c r="C57" s="21">
        <f>'Main (2)'!J57</f>
        <v>8.333333333333334</v>
      </c>
      <c r="D57" s="6">
        <f>D12</f>
        <v>110</v>
      </c>
      <c r="E57" s="6">
        <f>E12</f>
        <v>120</v>
      </c>
      <c r="F57" s="6">
        <f>F12</f>
        <v>130</v>
      </c>
      <c r="G57" s="6">
        <f>G12</f>
        <v>140</v>
      </c>
      <c r="H57" s="6">
        <f>H12</f>
        <v>150</v>
      </c>
    </row>
    <row r="58" spans="1:3" ht="14.25">
      <c r="A58" s="10" t="s">
        <v>25</v>
      </c>
      <c r="B58" s="10"/>
      <c r="C58" s="21">
        <f>'Main (2)'!J58</f>
        <v>0</v>
      </c>
    </row>
    <row r="59" spans="1:8" ht="14.25">
      <c r="A59" s="14" t="s">
        <v>7</v>
      </c>
      <c r="B59" s="14"/>
      <c r="C59" s="21">
        <f>'Main (2)'!J59</f>
        <v>-9.945205479452042</v>
      </c>
      <c r="D59" s="6">
        <f aca="true" t="shared" si="23" ref="D59:H60">C28-D28</f>
        <v>-82.19178082191786</v>
      </c>
      <c r="E59" s="6">
        <f t="shared" si="23"/>
        <v>-90.41095890410963</v>
      </c>
      <c r="F59" s="6">
        <f t="shared" si="23"/>
        <v>-99.45205479452068</v>
      </c>
      <c r="G59" s="6">
        <f t="shared" si="23"/>
        <v>-1406.0273972602738</v>
      </c>
      <c r="H59" s="6">
        <f t="shared" si="23"/>
        <v>1176.2931506849309</v>
      </c>
    </row>
    <row r="60" spans="1:8" ht="14.25">
      <c r="A60" s="14" t="s">
        <v>8</v>
      </c>
      <c r="B60" s="14"/>
      <c r="C60" s="21">
        <f>'Main (2)'!J60</f>
        <v>-44.753424657534254</v>
      </c>
      <c r="D60" s="6">
        <f t="shared" si="23"/>
        <v>-61.64383561643842</v>
      </c>
      <c r="E60" s="6">
        <f t="shared" si="23"/>
        <v>-67.80821917808225</v>
      </c>
      <c r="F60" s="6">
        <f t="shared" si="23"/>
        <v>-74.5890410958906</v>
      </c>
      <c r="G60" s="6">
        <f t="shared" si="23"/>
        <v>-82.04794520547944</v>
      </c>
      <c r="H60" s="6">
        <f t="shared" si="23"/>
        <v>-90.2527397260277</v>
      </c>
    </row>
    <row r="61" spans="1:8" ht="14.25">
      <c r="A61" s="14" t="s">
        <v>14</v>
      </c>
      <c r="B61" s="14"/>
      <c r="C61" s="21">
        <f>'Main (2)'!J61</f>
        <v>52.21232876712327</v>
      </c>
      <c r="D61" s="6">
        <f aca="true" t="shared" si="24" ref="D61:H62">D38-C38</f>
        <v>71.91780821917814</v>
      </c>
      <c r="E61" s="6">
        <f t="shared" si="24"/>
        <v>79.10958904109611</v>
      </c>
      <c r="F61" s="6">
        <f t="shared" si="24"/>
        <v>87.02054794520564</v>
      </c>
      <c r="G61" s="6">
        <f t="shared" si="24"/>
        <v>95.72260273972597</v>
      </c>
      <c r="H61" s="6">
        <f t="shared" si="24"/>
        <v>105.29486301369911</v>
      </c>
    </row>
    <row r="62" spans="1:8" ht="14.25">
      <c r="A62" s="14" t="s">
        <v>15</v>
      </c>
      <c r="B62" s="14"/>
      <c r="C62" s="21">
        <f>'Main (2)'!J62</f>
        <v>0</v>
      </c>
      <c r="D62" s="6">
        <f t="shared" si="24"/>
        <v>0</v>
      </c>
      <c r="E62" s="6">
        <f t="shared" si="24"/>
        <v>0</v>
      </c>
      <c r="F62" s="6">
        <f t="shared" si="24"/>
        <v>0</v>
      </c>
      <c r="G62" s="6">
        <f t="shared" si="24"/>
        <v>0</v>
      </c>
      <c r="H62" s="6">
        <f t="shared" si="24"/>
        <v>0</v>
      </c>
    </row>
    <row r="63" spans="1:8" ht="14.25">
      <c r="A63" s="10" t="s">
        <v>27</v>
      </c>
      <c r="B63" s="10"/>
      <c r="C63" s="9">
        <f aca="true" t="shared" si="25" ref="C63:H63">SUM(C56:C62)</f>
        <v>838.6554351490823</v>
      </c>
      <c r="D63" s="9">
        <f t="shared" si="25"/>
        <v>985.8248829789725</v>
      </c>
      <c r="E63" s="9">
        <f t="shared" si="25"/>
        <v>1115.387040909693</v>
      </c>
      <c r="F63" s="9">
        <f t="shared" si="25"/>
        <v>1255.832545661941</v>
      </c>
      <c r="G63" s="9">
        <f t="shared" si="25"/>
        <v>107.37828909407745</v>
      </c>
      <c r="H63" s="9">
        <f t="shared" si="25"/>
        <v>2866.1550360995852</v>
      </c>
    </row>
    <row r="65" spans="1:2" ht="14.25">
      <c r="A65" s="1" t="s">
        <v>29</v>
      </c>
      <c r="B65" s="1"/>
    </row>
    <row r="66" spans="1:8" ht="14.25">
      <c r="A66" s="10" t="s">
        <v>30</v>
      </c>
      <c r="B66" s="10"/>
      <c r="C66" s="21">
        <f>'Main (2)'!J66</f>
        <v>0</v>
      </c>
      <c r="D66" s="21">
        <f>-50</f>
        <v>-50</v>
      </c>
      <c r="E66" s="21">
        <f>-50</f>
        <v>-50</v>
      </c>
      <c r="F66" s="21">
        <f>-50</f>
        <v>-50</v>
      </c>
      <c r="G66" s="21">
        <f>-50</f>
        <v>-50</v>
      </c>
      <c r="H66" s="21">
        <f>-50</f>
        <v>-50</v>
      </c>
    </row>
    <row r="67" spans="1:8" ht="14.25">
      <c r="A67" s="1" t="s">
        <v>34</v>
      </c>
      <c r="B67" s="1"/>
      <c r="C67" s="9">
        <f aca="true" t="shared" si="26" ref="C67:H67">SUM(C66:C66)</f>
        <v>0</v>
      </c>
      <c r="D67" s="9">
        <f t="shared" si="26"/>
        <v>-50</v>
      </c>
      <c r="E67" s="9">
        <f t="shared" si="26"/>
        <v>-50</v>
      </c>
      <c r="F67" s="9">
        <f t="shared" si="26"/>
        <v>-50</v>
      </c>
      <c r="G67" s="9">
        <f t="shared" si="26"/>
        <v>-50</v>
      </c>
      <c r="H67" s="9">
        <f t="shared" si="26"/>
        <v>-50</v>
      </c>
    </row>
    <row r="68" spans="3:8" ht="14.25">
      <c r="C68" s="6"/>
      <c r="D68" s="6"/>
      <c r="E68" s="6"/>
      <c r="F68" s="6"/>
      <c r="G68" s="6"/>
      <c r="H68" s="6"/>
    </row>
    <row r="69" spans="1:8" ht="14.25">
      <c r="A69" s="1" t="s">
        <v>32</v>
      </c>
      <c r="B69" s="1"/>
      <c r="C69" s="6"/>
      <c r="D69" s="6"/>
      <c r="E69" s="6"/>
      <c r="F69" s="6"/>
      <c r="G69" s="6"/>
      <c r="H69" s="6"/>
    </row>
    <row r="70" spans="1:8" ht="14.25">
      <c r="A70" s="10" t="s">
        <v>31</v>
      </c>
      <c r="B70" s="31">
        <f>'Main (2)'!C70</f>
        <v>3000</v>
      </c>
      <c r="C70" s="25">
        <f aca="true" t="shared" si="27" ref="C70:H70">IF($B$70/$C$188&gt;B42,-B42,-$B$70/$C$188)</f>
        <v>-428.57142857142856</v>
      </c>
      <c r="D70" s="25">
        <f t="shared" si="27"/>
        <v>-428.57142857142856</v>
      </c>
      <c r="E70" s="25">
        <f t="shared" si="27"/>
        <v>-428.57142857142856</v>
      </c>
      <c r="F70" s="25">
        <f t="shared" si="27"/>
        <v>-428.57142857142856</v>
      </c>
      <c r="G70" s="25">
        <f t="shared" si="27"/>
        <v>-428.57142857142856</v>
      </c>
      <c r="H70" s="25">
        <f t="shared" si="27"/>
        <v>-428.57142857142856</v>
      </c>
    </row>
    <row r="71" spans="1:8" ht="14.25">
      <c r="A71" s="10" t="s">
        <v>33</v>
      </c>
      <c r="B71" s="10"/>
      <c r="C71" s="21">
        <f>'Main (2)'!J71</f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</row>
    <row r="72" spans="1:8" ht="14.25">
      <c r="A72" s="1" t="s">
        <v>35</v>
      </c>
      <c r="B72" s="1"/>
      <c r="C72" s="9">
        <f aca="true" t="shared" si="28" ref="C72:H72">SUM(C70:C71)</f>
        <v>-428.57142857142856</v>
      </c>
      <c r="D72" s="9">
        <f t="shared" si="28"/>
        <v>-428.57142857142856</v>
      </c>
      <c r="E72" s="9">
        <f t="shared" si="28"/>
        <v>-428.57142857142856</v>
      </c>
      <c r="F72" s="9">
        <f t="shared" si="28"/>
        <v>-428.57142857142856</v>
      </c>
      <c r="G72" s="9">
        <f t="shared" si="28"/>
        <v>-428.57142857142856</v>
      </c>
      <c r="H72" s="9">
        <f t="shared" si="28"/>
        <v>-428.57142857142856</v>
      </c>
    </row>
    <row r="73" spans="1:8" ht="14.25">
      <c r="A73" s="1"/>
      <c r="B73" s="1"/>
      <c r="C73" s="17"/>
      <c r="D73" s="17"/>
      <c r="E73" s="17"/>
      <c r="F73" s="17"/>
      <c r="G73" s="17"/>
      <c r="H73" s="17"/>
    </row>
    <row r="74" spans="1:8" ht="15">
      <c r="A74" s="5" t="s">
        <v>36</v>
      </c>
      <c r="B74" s="1"/>
      <c r="C74" s="18">
        <f aca="true" t="shared" si="29" ref="C74:H74">C63+C67+C72</f>
        <v>410.0840065776538</v>
      </c>
      <c r="D74" s="18">
        <f t="shared" si="29"/>
        <v>507.2534544075439</v>
      </c>
      <c r="E74" s="18">
        <f t="shared" si="29"/>
        <v>636.8156123382645</v>
      </c>
      <c r="F74" s="18">
        <f t="shared" si="29"/>
        <v>777.2611170905124</v>
      </c>
      <c r="G74" s="18">
        <f t="shared" si="29"/>
        <v>-371.1931394773511</v>
      </c>
      <c r="H74" s="18">
        <f t="shared" si="29"/>
        <v>2387.583607528157</v>
      </c>
    </row>
    <row r="75" spans="1:8" ht="14.25">
      <c r="A75" s="1"/>
      <c r="B75" s="1"/>
      <c r="C75" s="17"/>
      <c r="D75" s="17"/>
      <c r="E75" s="17"/>
      <c r="F75" s="17"/>
      <c r="G75" s="17"/>
      <c r="H75" s="17"/>
    </row>
    <row r="76" spans="1:8" ht="14.25">
      <c r="A76" s="1" t="s">
        <v>37</v>
      </c>
      <c r="B76" s="1"/>
      <c r="C76" s="21">
        <v>10000</v>
      </c>
      <c r="D76" s="17">
        <f>C27</f>
        <v>10410.084006577654</v>
      </c>
      <c r="E76" s="17">
        <f>D27</f>
        <v>10917.337460985198</v>
      </c>
      <c r="F76" s="17">
        <f>E27</f>
        <v>11554.153073323463</v>
      </c>
      <c r="G76" s="17">
        <f>F27</f>
        <v>12331.414190413976</v>
      </c>
      <c r="H76" s="17">
        <f>G27</f>
        <v>11960.221050936625</v>
      </c>
    </row>
    <row r="77" spans="1:8" ht="14.25">
      <c r="A77" s="1" t="s">
        <v>38</v>
      </c>
      <c r="B77" s="1"/>
      <c r="C77" s="17">
        <f aca="true" t="shared" si="30" ref="C77:H77">C76+C74</f>
        <v>10410.084006577654</v>
      </c>
      <c r="D77" s="17">
        <f t="shared" si="30"/>
        <v>10917.337460985198</v>
      </c>
      <c r="E77" s="17">
        <f t="shared" si="30"/>
        <v>11554.153073323463</v>
      </c>
      <c r="F77" s="17">
        <f t="shared" si="30"/>
        <v>12331.414190413976</v>
      </c>
      <c r="G77" s="17">
        <f t="shared" si="30"/>
        <v>11960.221050936625</v>
      </c>
      <c r="H77" s="17">
        <f t="shared" si="30"/>
        <v>14347.804658464782</v>
      </c>
    </row>
    <row r="78" spans="1:8" ht="14.25">
      <c r="A78" s="12"/>
      <c r="B78" s="12"/>
      <c r="C78" s="12"/>
      <c r="D78" s="12"/>
      <c r="E78" s="12"/>
      <c r="F78" s="12"/>
      <c r="G78" s="12"/>
      <c r="H78" s="12"/>
    </row>
    <row r="79" ht="14.25">
      <c r="A79" s="34" t="s">
        <v>75</v>
      </c>
    </row>
    <row r="80" ht="14.25">
      <c r="C80" s="32" t="s">
        <v>147</v>
      </c>
    </row>
    <row r="81" spans="1:8" ht="14.25">
      <c r="A81" s="37" t="s">
        <v>76</v>
      </c>
      <c r="C81" s="6">
        <f aca="true" t="shared" si="31" ref="C81:H81">C15+C12</f>
        <v>1500</v>
      </c>
      <c r="D81" s="6">
        <f t="shared" si="31"/>
        <v>1650</v>
      </c>
      <c r="E81" s="6">
        <f t="shared" si="31"/>
        <v>1814.9999999999998</v>
      </c>
      <c r="F81" s="6">
        <f t="shared" si="31"/>
        <v>1996.4999999999995</v>
      </c>
      <c r="G81" s="6">
        <f t="shared" si="31"/>
        <v>2196.1500000000015</v>
      </c>
      <c r="H81" s="6">
        <f t="shared" si="31"/>
        <v>2415.7650000000003</v>
      </c>
    </row>
    <row r="82" spans="1:2" ht="14.25">
      <c r="A82" t="s">
        <v>77</v>
      </c>
      <c r="B82" s="36">
        <v>5</v>
      </c>
    </row>
    <row r="83" spans="1:8" ht="14.25">
      <c r="A83" s="1" t="s">
        <v>78</v>
      </c>
      <c r="C83" s="9">
        <f aca="true" t="shared" si="32" ref="C83:H83">$B$82*C81</f>
        <v>7500</v>
      </c>
      <c r="D83" s="9">
        <f t="shared" si="32"/>
        <v>8250</v>
      </c>
      <c r="E83" s="9">
        <f t="shared" si="32"/>
        <v>9074.999999999998</v>
      </c>
      <c r="F83" s="9">
        <f t="shared" si="32"/>
        <v>9982.499999999998</v>
      </c>
      <c r="G83" s="9">
        <f t="shared" si="32"/>
        <v>10980.750000000007</v>
      </c>
      <c r="H83" s="9">
        <f t="shared" si="32"/>
        <v>12078.825</v>
      </c>
    </row>
    <row r="84" spans="1:10" ht="14.25">
      <c r="A84" s="10" t="s">
        <v>79</v>
      </c>
      <c r="C84" s="6">
        <f aca="true" t="shared" si="33" ref="C84:H84">C27</f>
        <v>10410.084006577654</v>
      </c>
      <c r="D84" s="6">
        <f t="shared" si="33"/>
        <v>10917.337460985198</v>
      </c>
      <c r="E84" s="6">
        <f t="shared" si="33"/>
        <v>11554.153073323463</v>
      </c>
      <c r="F84" s="6">
        <f t="shared" si="33"/>
        <v>12331.414190413976</v>
      </c>
      <c r="G84" s="6">
        <f t="shared" si="33"/>
        <v>11960.221050936625</v>
      </c>
      <c r="H84" s="6">
        <f t="shared" si="33"/>
        <v>14347.804658464782</v>
      </c>
      <c r="J84" s="6"/>
    </row>
    <row r="85" spans="1:8" ht="14.25">
      <c r="A85" s="10" t="s">
        <v>80</v>
      </c>
      <c r="C85" s="6">
        <f aca="true" t="shared" si="34" ref="C85:H85">-C42</f>
        <v>-2571.4285714285716</v>
      </c>
      <c r="D85" s="6">
        <f t="shared" si="34"/>
        <v>-2142.857142857143</v>
      </c>
      <c r="E85" s="6">
        <f t="shared" si="34"/>
        <v>-1714.2857142857147</v>
      </c>
      <c r="F85" s="6">
        <f t="shared" si="34"/>
        <v>-1285.7142857142862</v>
      </c>
      <c r="G85" s="6">
        <f t="shared" si="34"/>
        <v>-857.1428571428577</v>
      </c>
      <c r="H85" s="6">
        <f t="shared" si="34"/>
        <v>-428.5714285714291</v>
      </c>
    </row>
    <row r="86" spans="1:8" ht="15.75" thickBot="1">
      <c r="A86" s="5" t="s">
        <v>81</v>
      </c>
      <c r="C86" s="11">
        <f aca="true" t="shared" si="35" ref="C86:H86">SUM(C83:C85)</f>
        <v>15338.655435149081</v>
      </c>
      <c r="D86" s="11">
        <f t="shared" si="35"/>
        <v>17024.48031812805</v>
      </c>
      <c r="E86" s="11">
        <f t="shared" si="35"/>
        <v>18914.867359037748</v>
      </c>
      <c r="F86" s="11">
        <f t="shared" si="35"/>
        <v>21028.19990469969</v>
      </c>
      <c r="G86" s="11">
        <f t="shared" si="35"/>
        <v>22083.828193793775</v>
      </c>
      <c r="H86" s="11">
        <f t="shared" si="35"/>
        <v>25998.058229893355</v>
      </c>
    </row>
    <row r="87" spans="1:8" ht="15.75" thickTop="1">
      <c r="A87" s="5"/>
      <c r="C87" s="18"/>
      <c r="D87" s="18"/>
      <c r="E87" s="18"/>
      <c r="F87" s="18"/>
      <c r="G87" s="18"/>
      <c r="H87" s="18"/>
    </row>
    <row r="88" ht="14.25">
      <c r="C88" s="32" t="s">
        <v>148</v>
      </c>
    </row>
    <row r="89" spans="1:5" ht="14.25">
      <c r="A89" t="s">
        <v>77</v>
      </c>
      <c r="C89" s="38">
        <v>5</v>
      </c>
      <c r="D89" s="38">
        <v>4.5</v>
      </c>
      <c r="E89" s="38">
        <v>4</v>
      </c>
    </row>
    <row r="90" spans="1:5" ht="14.25">
      <c r="A90" s="1" t="s">
        <v>78</v>
      </c>
      <c r="C90" s="9">
        <f>C89*C81</f>
        <v>7500</v>
      </c>
      <c r="D90" s="9">
        <f>D89*D81</f>
        <v>7425</v>
      </c>
      <c r="E90" s="9">
        <f>E89*E81</f>
        <v>7259.999999999999</v>
      </c>
    </row>
    <row r="91" spans="1:5" ht="14.25">
      <c r="A91" s="10" t="s">
        <v>79</v>
      </c>
      <c r="C91" s="6">
        <f>C27</f>
        <v>10410.084006577654</v>
      </c>
      <c r="D91" s="6">
        <f>D27</f>
        <v>10917.337460985198</v>
      </c>
      <c r="E91" s="6">
        <f>E27</f>
        <v>11554.153073323463</v>
      </c>
    </row>
    <row r="92" spans="1:5" ht="14.25">
      <c r="A92" s="10" t="s">
        <v>80</v>
      </c>
      <c r="C92" s="6">
        <f>-C42</f>
        <v>-2571.4285714285716</v>
      </c>
      <c r="D92" s="6">
        <f>-D42</f>
        <v>-2142.857142857143</v>
      </c>
      <c r="E92" s="6">
        <f>-E42</f>
        <v>-1714.2857142857147</v>
      </c>
    </row>
    <row r="93" spans="1:9" ht="15.75" thickBot="1">
      <c r="A93" s="5" t="s">
        <v>81</v>
      </c>
      <c r="C93" s="11">
        <f>SUM(C90:C92)</f>
        <v>15338.655435149081</v>
      </c>
      <c r="D93" s="11">
        <f>SUM(D90:D92)</f>
        <v>16199.480318128053</v>
      </c>
      <c r="E93" s="11">
        <f>SUM(E90:E92)</f>
        <v>17099.867359037748</v>
      </c>
      <c r="I93" s="47"/>
    </row>
    <row r="94" spans="1:8" ht="15" thickTop="1">
      <c r="A94" s="40"/>
      <c r="B94" s="40"/>
      <c r="C94" s="40"/>
      <c r="D94" s="40"/>
      <c r="E94" s="40"/>
      <c r="F94" s="40"/>
      <c r="G94" s="40"/>
      <c r="H94" s="40"/>
    </row>
    <row r="95" ht="15">
      <c r="A95" s="2" t="s">
        <v>82</v>
      </c>
    </row>
    <row r="96" spans="1:4" ht="14.25">
      <c r="A96" t="s">
        <v>4</v>
      </c>
      <c r="C96" s="6">
        <f>C23</f>
        <v>832.808403185612</v>
      </c>
      <c r="D96" s="6">
        <f>D23</f>
        <v>947.7426911981506</v>
      </c>
    </row>
    <row r="97" spans="1:4" ht="14.25">
      <c r="A97" t="s">
        <v>83</v>
      </c>
      <c r="C97" s="39">
        <v>10</v>
      </c>
      <c r="D97" s="39">
        <v>6</v>
      </c>
    </row>
    <row r="98" spans="3:4" ht="15.75" thickBot="1">
      <c r="C98" s="11">
        <f>C96*C97</f>
        <v>8328.08403185612</v>
      </c>
      <c r="D98" s="11">
        <f>D96*D97</f>
        <v>5686.456147188904</v>
      </c>
    </row>
    <row r="99" spans="1:8" ht="15" thickTop="1">
      <c r="A99" s="41"/>
      <c r="B99" s="41"/>
      <c r="C99" s="41"/>
      <c r="D99" s="41"/>
      <c r="E99" s="41"/>
      <c r="F99" s="41"/>
      <c r="G99" s="41"/>
      <c r="H99" s="41"/>
    </row>
    <row r="100" spans="1:8" ht="15">
      <c r="A100" s="2" t="s">
        <v>84</v>
      </c>
      <c r="C100" s="57">
        <v>40543</v>
      </c>
      <c r="D100" s="48">
        <v>40724</v>
      </c>
      <c r="E100" s="48">
        <v>41090</v>
      </c>
      <c r="F100" s="48">
        <v>41455</v>
      </c>
      <c r="G100" s="48">
        <v>41820</v>
      </c>
      <c r="H100" s="48">
        <v>42185</v>
      </c>
    </row>
    <row r="101" spans="1:8" ht="14.25">
      <c r="A101" s="1" t="s">
        <v>86</v>
      </c>
      <c r="C101" s="33"/>
      <c r="D101" s="6">
        <f>D74</f>
        <v>507.2534544075439</v>
      </c>
      <c r="E101" s="6">
        <f>E74</f>
        <v>636.8156123382645</v>
      </c>
      <c r="F101" s="6">
        <f>F74</f>
        <v>777.2611170905124</v>
      </c>
      <c r="G101" s="6">
        <f>G74</f>
        <v>-371.1931394773511</v>
      </c>
      <c r="H101" s="6">
        <f>H74</f>
        <v>2387.583607528157</v>
      </c>
    </row>
    <row r="102" spans="1:8" ht="14.25">
      <c r="A102" s="10" t="s">
        <v>87</v>
      </c>
      <c r="C102" s="33"/>
      <c r="D102" s="6">
        <f>-D72</f>
        <v>428.57142857142856</v>
      </c>
      <c r="E102" s="6">
        <f>-E72</f>
        <v>428.57142857142856</v>
      </c>
      <c r="F102" s="6">
        <f>-F72</f>
        <v>428.57142857142856</v>
      </c>
      <c r="G102" s="6">
        <f>-G72</f>
        <v>428.57142857142856</v>
      </c>
      <c r="H102" s="6">
        <f>-H72</f>
        <v>428.57142857142856</v>
      </c>
    </row>
    <row r="103" spans="1:8" ht="14.25">
      <c r="A103" s="10" t="s">
        <v>88</v>
      </c>
      <c r="C103" s="33"/>
      <c r="D103" s="6">
        <f aca="true" t="shared" si="36" ref="D103:H104">-D17</f>
        <v>188.57142857142858</v>
      </c>
      <c r="E103" s="6">
        <f t="shared" si="36"/>
        <v>154.2857142857143</v>
      </c>
      <c r="F103" s="6">
        <f t="shared" si="36"/>
        <v>120.00000000000004</v>
      </c>
      <c r="G103" s="6">
        <f t="shared" si="36"/>
        <v>85.71428571428577</v>
      </c>
      <c r="H103" s="6">
        <f t="shared" si="36"/>
        <v>51.428571428571466</v>
      </c>
    </row>
    <row r="104" spans="1:8" ht="14.25">
      <c r="A104" s="10" t="s">
        <v>89</v>
      </c>
      <c r="C104" s="33"/>
      <c r="D104" s="6">
        <f t="shared" si="36"/>
        <v>-106.63710733781427</v>
      </c>
      <c r="E104" s="6">
        <f t="shared" si="36"/>
        <v>-112.35745267154331</v>
      </c>
      <c r="F104" s="6">
        <f t="shared" si="36"/>
        <v>-119.42783631868718</v>
      </c>
      <c r="G104" s="6">
        <f t="shared" si="36"/>
        <v>-121.45817620675302</v>
      </c>
      <c r="H104" s="6">
        <f t="shared" si="36"/>
        <v>-131.54012854700704</v>
      </c>
    </row>
    <row r="105" spans="1:8" ht="14.25">
      <c r="A105" s="10" t="s">
        <v>90</v>
      </c>
      <c r="C105" s="33"/>
      <c r="D105" s="6">
        <f>(D17+D18)*$C$179</f>
        <v>-28.677012431765007</v>
      </c>
      <c r="E105" s="6">
        <f>(E17+E18)*$C$179</f>
        <v>-14.674891564959847</v>
      </c>
      <c r="F105" s="6">
        <f>(F17+F18)*$C$179</f>
        <v>-0.20025728845950042</v>
      </c>
      <c r="G105" s="6">
        <f>(G17+G18)*$C$179</f>
        <v>12.51036167236354</v>
      </c>
      <c r="H105" s="6">
        <f>(H17+H18)*$C$179</f>
        <v>28.039044991452446</v>
      </c>
    </row>
    <row r="106" spans="1:8" ht="14.25">
      <c r="A106" s="1" t="s">
        <v>91</v>
      </c>
      <c r="C106" s="46">
        <v>0</v>
      </c>
      <c r="D106" s="9">
        <f>SUM(D101:D105)</f>
        <v>989.0821917808219</v>
      </c>
      <c r="E106" s="9">
        <f>SUM(E101:E105)</f>
        <v>1092.640410958904</v>
      </c>
      <c r="F106" s="9">
        <f>SUM(F101:F105)</f>
        <v>1206.2044520547943</v>
      </c>
      <c r="G106" s="9">
        <f>SUM(G101:G105)</f>
        <v>34.144760273973745</v>
      </c>
      <c r="H106" s="9">
        <f>SUM(H101:H105)</f>
        <v>2764.0825239726023</v>
      </c>
    </row>
    <row r="107" ht="14.25">
      <c r="A107" s="1"/>
    </row>
    <row r="108" spans="1:8" ht="14.25">
      <c r="A108" s="1" t="s">
        <v>98</v>
      </c>
      <c r="D108" s="50">
        <v>0.5</v>
      </c>
      <c r="E108" s="50">
        <f>D108+1</f>
        <v>1.5</v>
      </c>
      <c r="F108" s="50">
        <f>E108+1</f>
        <v>2.5</v>
      </c>
      <c r="G108" s="50">
        <f>F108+1</f>
        <v>3.5</v>
      </c>
      <c r="H108" s="50">
        <f>G108+1</f>
        <v>4.5</v>
      </c>
    </row>
    <row r="109" spans="1:8" ht="14.25">
      <c r="A109" s="1" t="s">
        <v>149</v>
      </c>
      <c r="D109" s="51">
        <f>1/(1+$B$113)^D108</f>
        <v>0.9128709291752769</v>
      </c>
      <c r="E109" s="51">
        <f>1/(1+$B$113)^E108</f>
        <v>0.7607257743127307</v>
      </c>
      <c r="F109" s="51">
        <f>1/(1+$B$113)^F108</f>
        <v>0.633938145260609</v>
      </c>
      <c r="G109" s="51">
        <f>1/(1+$B$113)^G108</f>
        <v>0.5282817877171742</v>
      </c>
      <c r="H109" s="51">
        <f>1/(1+$B$113)^H108</f>
        <v>0.44023482309764517</v>
      </c>
    </row>
    <row r="110" ht="14.25">
      <c r="A110" s="1"/>
    </row>
    <row r="111" ht="14.25">
      <c r="A111" s="52" t="s">
        <v>17</v>
      </c>
    </row>
    <row r="112" spans="1:2" ht="14.25">
      <c r="A112" s="44"/>
      <c r="B112" s="25"/>
    </row>
    <row r="113" spans="1:2" ht="14.25">
      <c r="A113" s="44" t="s">
        <v>92</v>
      </c>
      <c r="B113" s="19">
        <v>0.2</v>
      </c>
    </row>
    <row r="114" spans="1:2" ht="14.25">
      <c r="A114" s="44" t="s">
        <v>93</v>
      </c>
      <c r="B114" s="19">
        <v>0.03</v>
      </c>
    </row>
    <row r="115" spans="1:4" ht="14.25">
      <c r="A115" s="44" t="s">
        <v>99</v>
      </c>
      <c r="B115" s="19">
        <v>0.25</v>
      </c>
      <c r="D115" s="47"/>
    </row>
    <row r="116" spans="1:4" ht="14.25">
      <c r="A116" s="44"/>
      <c r="B116" s="45"/>
      <c r="D116" s="47"/>
    </row>
    <row r="117" spans="1:3" ht="14.25">
      <c r="A117" s="44" t="s">
        <v>95</v>
      </c>
      <c r="B117" s="45"/>
      <c r="C117" s="6">
        <f>NPV(B113,D106:H106)</f>
        <v>3408.3373964256903</v>
      </c>
    </row>
    <row r="118" spans="1:3" ht="14.25">
      <c r="A118" s="44" t="s">
        <v>96</v>
      </c>
      <c r="B118" s="45"/>
      <c r="C118" s="6">
        <f>XNPV(B113,C106:H106,C100:H100)</f>
        <v>3735.0304027733605</v>
      </c>
    </row>
    <row r="119" spans="1:8" ht="14.25">
      <c r="A119" s="44" t="s">
        <v>97</v>
      </c>
      <c r="B119" s="45"/>
      <c r="C119" s="6">
        <f>SUM(D119:H119)</f>
        <v>3733.646551221557</v>
      </c>
      <c r="D119" s="6">
        <f>D109*D106</f>
        <v>902.9043794416783</v>
      </c>
      <c r="E119" s="6">
        <f>E109*E106</f>
        <v>831.1997226720927</v>
      </c>
      <c r="F119" s="6">
        <f>F109*F106</f>
        <v>764.6590131407055</v>
      </c>
      <c r="G119" s="6">
        <f>G109*G106</f>
        <v>18.0380549987092</v>
      </c>
      <c r="H119" s="6">
        <f>H109*H106</f>
        <v>1216.845380968371</v>
      </c>
    </row>
    <row r="120" spans="1:3" ht="14.25">
      <c r="A120" s="44"/>
      <c r="B120" s="45"/>
      <c r="C120" s="6"/>
    </row>
    <row r="121" spans="1:2" ht="14.25">
      <c r="A121" s="44" t="s">
        <v>101</v>
      </c>
      <c r="B121" s="6">
        <f>H106</f>
        <v>2764.0825239726023</v>
      </c>
    </row>
    <row r="122" spans="1:2" ht="14.25">
      <c r="A122" s="54" t="s">
        <v>102</v>
      </c>
      <c r="B122" s="6">
        <f>B121*B114</f>
        <v>82.92247571917807</v>
      </c>
    </row>
    <row r="123" spans="1:2" ht="14.25">
      <c r="A123" s="44" t="s">
        <v>100</v>
      </c>
      <c r="B123" s="53">
        <f>B121+B122</f>
        <v>2847.0049996917805</v>
      </c>
    </row>
    <row r="124" spans="1:2" ht="14.25">
      <c r="A124" s="44"/>
      <c r="B124" s="45"/>
    </row>
    <row r="125" spans="1:6" ht="14.25">
      <c r="A125" s="44" t="s">
        <v>101</v>
      </c>
      <c r="B125" s="25">
        <f>H106</f>
        <v>2764.0825239726023</v>
      </c>
      <c r="D125" t="s">
        <v>103</v>
      </c>
      <c r="F125" s="6">
        <f>G7/365*C184</f>
        <v>1203.3698630136992</v>
      </c>
    </row>
    <row r="126" spans="1:6" ht="14.25">
      <c r="A126" s="54" t="s">
        <v>106</v>
      </c>
      <c r="B126" s="25">
        <f>-H59</f>
        <v>-1176.2931506849309</v>
      </c>
      <c r="D126" t="s">
        <v>104</v>
      </c>
      <c r="F126" s="6">
        <f>H28</f>
        <v>1323.7068493150691</v>
      </c>
    </row>
    <row r="127" spans="1:6" ht="14.25">
      <c r="A127" s="54" t="s">
        <v>107</v>
      </c>
      <c r="B127" s="25">
        <f>F127</f>
        <v>-120.33698630136996</v>
      </c>
      <c r="D127" t="s">
        <v>105</v>
      </c>
      <c r="F127" s="9">
        <f>F125-F126</f>
        <v>-120.33698630136996</v>
      </c>
    </row>
    <row r="128" spans="1:2" ht="14.25">
      <c r="A128" s="44" t="s">
        <v>108</v>
      </c>
      <c r="B128" s="53">
        <f>SUM(B125:B127)</f>
        <v>1467.4523869863015</v>
      </c>
    </row>
    <row r="129" spans="1:2" ht="14.25">
      <c r="A129" s="54" t="s">
        <v>102</v>
      </c>
      <c r="B129" s="25">
        <f>B128*B114</f>
        <v>44.02357160958904</v>
      </c>
    </row>
    <row r="130" spans="1:2" ht="15" thickBot="1">
      <c r="A130" s="44" t="s">
        <v>109</v>
      </c>
      <c r="B130" s="55">
        <f>B129+B128</f>
        <v>1511.4759585958905</v>
      </c>
    </row>
    <row r="131" spans="1:2" ht="15" thickTop="1">
      <c r="A131" s="44"/>
      <c r="B131" s="56"/>
    </row>
    <row r="132" spans="1:2" ht="14.25">
      <c r="A132" s="58" t="s">
        <v>110</v>
      </c>
      <c r="B132" s="45"/>
    </row>
    <row r="133" spans="1:2" ht="14.25">
      <c r="A133" s="44" t="s">
        <v>94</v>
      </c>
      <c r="B133" s="6">
        <f>B130/(B113-B114)</f>
        <v>8891.035050564062</v>
      </c>
    </row>
    <row r="134" spans="1:8" ht="14.25">
      <c r="A134" s="42"/>
      <c r="C134" s="48">
        <v>40543</v>
      </c>
      <c r="D134" s="48">
        <v>40724</v>
      </c>
      <c r="E134" s="48">
        <v>41090</v>
      </c>
      <c r="F134" s="48">
        <v>41455</v>
      </c>
      <c r="G134" s="48">
        <v>41820</v>
      </c>
      <c r="H134" s="48">
        <v>42185</v>
      </c>
    </row>
    <row r="135" spans="1:8" ht="14.25">
      <c r="A135" s="44" t="s">
        <v>111</v>
      </c>
      <c r="B135" s="6">
        <f>XNPV(B113,C135:H135,C134:H134)</f>
        <v>3915.1209437548227</v>
      </c>
      <c r="C135">
        <v>0</v>
      </c>
      <c r="D135">
        <v>0</v>
      </c>
      <c r="E135">
        <v>0</v>
      </c>
      <c r="F135">
        <v>0</v>
      </c>
      <c r="G135">
        <v>0</v>
      </c>
      <c r="H135" s="6">
        <f>B133</f>
        <v>8891.035050564062</v>
      </c>
    </row>
    <row r="136" spans="1:8" ht="14.25">
      <c r="A136" s="44"/>
      <c r="H136" s="6"/>
    </row>
    <row r="137" spans="1:2" ht="14.25">
      <c r="A137" s="44" t="s">
        <v>112</v>
      </c>
      <c r="B137" s="6">
        <f>B133*H109</f>
        <v>3914.1432426400324</v>
      </c>
    </row>
    <row r="138" spans="1:5" ht="14.25">
      <c r="A138" s="59" t="s">
        <v>146</v>
      </c>
      <c r="B138" s="60">
        <f>B123/(B113-B114)*H109</f>
        <v>7372.651425867189</v>
      </c>
      <c r="C138" s="6"/>
      <c r="E138" s="49"/>
    </row>
    <row r="139" spans="1:5" ht="14.25">
      <c r="A139" s="59"/>
      <c r="B139" s="60"/>
      <c r="E139" s="49"/>
    </row>
    <row r="140" spans="1:5" ht="14.25">
      <c r="A140" s="44" t="s">
        <v>114</v>
      </c>
      <c r="E140" s="49"/>
    </row>
    <row r="141" spans="1:5" ht="14.25">
      <c r="A141" s="61" t="s">
        <v>115</v>
      </c>
      <c r="B141" s="6">
        <f>C118</f>
        <v>3735.0304027733605</v>
      </c>
      <c r="E141" s="49"/>
    </row>
    <row r="142" spans="1:5" ht="14.25">
      <c r="A142" s="61" t="s">
        <v>116</v>
      </c>
      <c r="B142" s="6">
        <f>B135</f>
        <v>3915.1209437548227</v>
      </c>
      <c r="E142" s="49"/>
    </row>
    <row r="143" spans="1:5" ht="15">
      <c r="A143" s="62" t="s">
        <v>78</v>
      </c>
      <c r="B143" s="7">
        <f>SUM(B141:B142)</f>
        <v>7650.151346528183</v>
      </c>
      <c r="E143" s="49"/>
    </row>
    <row r="144" spans="1:5" ht="14.25">
      <c r="A144" s="10" t="s">
        <v>79</v>
      </c>
      <c r="B144" s="17">
        <f>C27</f>
        <v>10410.084006577654</v>
      </c>
      <c r="E144" s="49"/>
    </row>
    <row r="145" spans="1:5" ht="14.25">
      <c r="A145" s="10" t="s">
        <v>80</v>
      </c>
      <c r="B145" s="17">
        <f>-C42</f>
        <v>-2571.4285714285716</v>
      </c>
      <c r="E145" s="49"/>
    </row>
    <row r="146" spans="1:5" ht="15.75" thickBot="1">
      <c r="A146" s="5" t="s">
        <v>81</v>
      </c>
      <c r="B146" s="11">
        <f>SUM(B143:B145)</f>
        <v>15488.806781677264</v>
      </c>
      <c r="E146" s="49"/>
    </row>
    <row r="147" spans="1:5" ht="15" thickTop="1">
      <c r="A147" s="42"/>
      <c r="B147" s="17"/>
      <c r="E147" s="49"/>
    </row>
    <row r="148" ht="14.25">
      <c r="A148" s="58" t="s">
        <v>85</v>
      </c>
    </row>
    <row r="149" ht="14.25">
      <c r="A149" s="1" t="s">
        <v>113</v>
      </c>
    </row>
    <row r="150" spans="1:2" ht="14.25">
      <c r="A150" s="10" t="s">
        <v>117</v>
      </c>
      <c r="B150" s="6">
        <f>H15</f>
        <v>2265.7650000000003</v>
      </c>
    </row>
    <row r="151" spans="1:2" ht="14.25">
      <c r="A151" s="54" t="s">
        <v>102</v>
      </c>
      <c r="B151" s="6">
        <f>B150*B114</f>
        <v>67.97295000000001</v>
      </c>
    </row>
    <row r="152" spans="1:2" ht="14.25">
      <c r="A152" s="54"/>
      <c r="B152" s="9">
        <f>B151+B150</f>
        <v>2333.73795</v>
      </c>
    </row>
    <row r="153" spans="1:2" ht="14.25">
      <c r="A153" s="54" t="s">
        <v>118</v>
      </c>
      <c r="B153" s="6">
        <f>-B152*$C$179</f>
        <v>-816.8082825</v>
      </c>
    </row>
    <row r="154" spans="1:2" ht="14.25">
      <c r="A154" s="54" t="s">
        <v>120</v>
      </c>
      <c r="B154" s="6">
        <f>B153+B152</f>
        <v>1516.9296675</v>
      </c>
    </row>
    <row r="155" spans="1:2" ht="14.25">
      <c r="A155" s="54"/>
      <c r="B155" s="6"/>
    </row>
    <row r="156" spans="1:2" ht="14.25">
      <c r="A156" s="54" t="s">
        <v>121</v>
      </c>
      <c r="B156" s="6">
        <f>(B154*(1-B114/B115))/(B113-B114)</f>
        <v>7852.341808235294</v>
      </c>
    </row>
    <row r="157" spans="1:2" ht="14.25">
      <c r="A157" s="54"/>
      <c r="B157" s="6"/>
    </row>
    <row r="158" spans="1:8" ht="14.25">
      <c r="A158" s="54" t="s">
        <v>122</v>
      </c>
      <c r="B158" s="6">
        <f>XNPV(B113,C158:H158,C134:H134)</f>
        <v>3457.737788244715</v>
      </c>
      <c r="C158">
        <v>0</v>
      </c>
      <c r="D158">
        <v>0</v>
      </c>
      <c r="E158">
        <v>0</v>
      </c>
      <c r="F158">
        <v>0</v>
      </c>
      <c r="G158">
        <v>0</v>
      </c>
      <c r="H158" s="6">
        <f>B156</f>
        <v>7852.341808235294</v>
      </c>
    </row>
    <row r="159" spans="1:8" ht="14.25">
      <c r="A159" s="54"/>
      <c r="B159" s="6"/>
      <c r="H159" s="6"/>
    </row>
    <row r="160" ht="14.25">
      <c r="A160" s="44" t="s">
        <v>123</v>
      </c>
    </row>
    <row r="161" spans="1:2" ht="14.25">
      <c r="A161" s="61" t="s">
        <v>115</v>
      </c>
      <c r="B161" s="6">
        <f>C118</f>
        <v>3735.0304027733605</v>
      </c>
    </row>
    <row r="162" spans="1:2" ht="14.25">
      <c r="A162" s="61" t="s">
        <v>116</v>
      </c>
      <c r="B162" s="6">
        <f>B158</f>
        <v>3457.737788244715</v>
      </c>
    </row>
    <row r="163" spans="1:2" ht="15">
      <c r="A163" s="62" t="s">
        <v>78</v>
      </c>
      <c r="B163" s="7">
        <f>SUM(B161:B162)</f>
        <v>7192.768191018075</v>
      </c>
    </row>
    <row r="164" spans="1:2" ht="14.25">
      <c r="A164" s="10" t="s">
        <v>79</v>
      </c>
      <c r="B164" s="17">
        <f>C27</f>
        <v>10410.084006577654</v>
      </c>
    </row>
    <row r="165" spans="1:2" ht="14.25">
      <c r="A165" s="10" t="s">
        <v>80</v>
      </c>
      <c r="B165" s="17">
        <f>-C42</f>
        <v>-2571.4285714285716</v>
      </c>
    </row>
    <row r="166" spans="1:2" ht="15.75" thickBot="1">
      <c r="A166" s="5" t="s">
        <v>81</v>
      </c>
      <c r="B166" s="11">
        <f>SUM(B163:B165)</f>
        <v>15031.423626167158</v>
      </c>
    </row>
    <row r="167" spans="1:8" ht="15" thickTop="1">
      <c r="A167" s="35"/>
      <c r="B167" s="35"/>
      <c r="C167" s="35"/>
      <c r="D167" s="35"/>
      <c r="E167" s="35"/>
      <c r="F167" s="35"/>
      <c r="G167" s="35"/>
      <c r="H167" s="35"/>
    </row>
    <row r="168" spans="1:8" ht="15">
      <c r="A168" s="16" t="s">
        <v>150</v>
      </c>
      <c r="B168" s="74"/>
      <c r="C168" s="74"/>
      <c r="D168" s="74"/>
      <c r="E168" s="74"/>
      <c r="F168" s="74"/>
      <c r="G168" s="74"/>
      <c r="H168" s="74"/>
    </row>
    <row r="169" spans="1:8" ht="14.25">
      <c r="A169" s="75" t="str">
        <f>C89&amp;"x EBITDA"</f>
        <v>5x EBITDA</v>
      </c>
      <c r="B169" s="25">
        <f>C93</f>
        <v>15338.655435149081</v>
      </c>
      <c r="C169" s="74"/>
      <c r="D169" s="74"/>
      <c r="E169" s="74"/>
      <c r="F169" s="74"/>
      <c r="G169" s="74"/>
      <c r="H169" s="74"/>
    </row>
    <row r="170" spans="1:8" ht="14.25">
      <c r="A170" s="75" t="str">
        <f>C97&amp;"x P/E"</f>
        <v>10x P/E</v>
      </c>
      <c r="B170" s="25">
        <f>C98</f>
        <v>8328.08403185612</v>
      </c>
      <c r="C170" s="74"/>
      <c r="D170" s="74"/>
      <c r="E170" s="74"/>
      <c r="F170" s="74"/>
      <c r="G170" s="74"/>
      <c r="H170" s="74"/>
    </row>
    <row r="171" spans="1:8" ht="14.25">
      <c r="A171" s="75" t="str">
        <f>"Gordon Growth "&amp;TEXT(B113,"0%")&amp;" discount, "&amp;TEXT(B114,"0%")&amp;" term. Growth"</f>
        <v>Gordon Growth 20% discount, 3% term. Growth</v>
      </c>
      <c r="B171" s="25">
        <f>B146</f>
        <v>15488.806781677264</v>
      </c>
      <c r="C171" s="74"/>
      <c r="D171" s="74"/>
      <c r="E171" s="74"/>
      <c r="F171" s="74"/>
      <c r="G171" s="74"/>
      <c r="H171" s="74"/>
    </row>
    <row r="172" spans="1:8" ht="14.25">
      <c r="A172" s="75" t="str">
        <f>"NOPLAT, "&amp;TEXT(B113,"0%")&amp;" disc., "&amp;TEXT(B114,"0%")&amp;" growth, "&amp;TEXT(B115,"0%")&amp;" ROIC"</f>
        <v>NOPLAT, 20% disc., 3% growth, 25% ROIC</v>
      </c>
      <c r="B172" s="25">
        <f>B166</f>
        <v>15031.423626167158</v>
      </c>
      <c r="C172" s="74"/>
      <c r="D172" s="74"/>
      <c r="E172" s="74"/>
      <c r="F172" s="74"/>
      <c r="G172" s="74"/>
      <c r="H172" s="74"/>
    </row>
    <row r="173" spans="1:8" ht="14.25">
      <c r="A173" s="35"/>
      <c r="B173" s="35"/>
      <c r="C173" s="35"/>
      <c r="D173" s="35"/>
      <c r="E173" s="35"/>
      <c r="F173" s="35"/>
      <c r="G173" s="35"/>
      <c r="H173" s="35"/>
    </row>
    <row r="174" ht="14.25">
      <c r="A174" s="32" t="s">
        <v>145</v>
      </c>
    </row>
    <row r="175" spans="1:3" ht="14.25">
      <c r="A175" s="1" t="s">
        <v>18</v>
      </c>
      <c r="B175" s="1"/>
      <c r="C175" s="19">
        <v>0.1</v>
      </c>
    </row>
    <row r="176" spans="1:3" ht="14.25">
      <c r="A176" s="1" t="s">
        <v>19</v>
      </c>
      <c r="B176" s="1"/>
      <c r="C176" s="19">
        <v>0.25</v>
      </c>
    </row>
    <row r="178" spans="1:3" ht="14.25">
      <c r="A178" s="1" t="s">
        <v>20</v>
      </c>
      <c r="B178" s="1"/>
      <c r="C178" s="19">
        <v>0.1</v>
      </c>
    </row>
    <row r="179" spans="1:3" ht="14.25">
      <c r="A179" s="1" t="s">
        <v>119</v>
      </c>
      <c r="B179" s="1"/>
      <c r="C179" s="19">
        <v>0.35</v>
      </c>
    </row>
    <row r="181" spans="1:4" ht="14.25">
      <c r="A181" s="1" t="s">
        <v>50</v>
      </c>
      <c r="C181" s="21">
        <v>5</v>
      </c>
      <c r="D181" t="s">
        <v>51</v>
      </c>
    </row>
    <row r="183" ht="14.25">
      <c r="A183" s="1" t="s">
        <v>52</v>
      </c>
    </row>
    <row r="184" spans="1:4" ht="14.25">
      <c r="A184" s="10" t="s">
        <v>53</v>
      </c>
      <c r="C184" s="22">
        <v>30</v>
      </c>
      <c r="D184" t="s">
        <v>55</v>
      </c>
    </row>
    <row r="185" spans="1:4" ht="14.25">
      <c r="A185" s="10" t="s">
        <v>54</v>
      </c>
      <c r="C185" s="22">
        <v>35</v>
      </c>
      <c r="D185" t="s">
        <v>56</v>
      </c>
    </row>
    <row r="186" spans="1:4" ht="14.25">
      <c r="A186" s="10" t="s">
        <v>8</v>
      </c>
      <c r="C186" s="22">
        <v>30</v>
      </c>
      <c r="D186" t="s">
        <v>55</v>
      </c>
    </row>
    <row r="188" spans="1:4" ht="14.25">
      <c r="A188" s="1" t="s">
        <v>58</v>
      </c>
      <c r="C188" s="22">
        <v>7</v>
      </c>
      <c r="D188" t="s">
        <v>51</v>
      </c>
    </row>
    <row r="189" spans="1:3" ht="14.25">
      <c r="A189" s="1" t="s">
        <v>70</v>
      </c>
      <c r="C189" s="19">
        <v>0.08</v>
      </c>
    </row>
    <row r="190" spans="1:3" ht="14.25">
      <c r="A190" s="1" t="s">
        <v>71</v>
      </c>
      <c r="C190" s="19">
        <v>0.01</v>
      </c>
    </row>
    <row r="193" spans="2:6" ht="14.25">
      <c r="B193" s="6"/>
      <c r="C193" s="71"/>
      <c r="D193" s="71"/>
      <c r="E193" s="71"/>
      <c r="F193" s="71"/>
    </row>
    <row r="194" spans="2:6" ht="14.25">
      <c r="B194" s="71"/>
      <c r="C194" s="6"/>
      <c r="D194" s="6"/>
      <c r="E194" s="6"/>
      <c r="F194" s="6"/>
    </row>
    <row r="195" spans="2:7" ht="14.25">
      <c r="B195" s="71"/>
      <c r="C195" s="6"/>
      <c r="D195" s="76"/>
      <c r="E195" s="76"/>
      <c r="F195" s="76"/>
      <c r="G195" s="71"/>
    </row>
    <row r="196" spans="2:7" ht="14.25">
      <c r="B196" s="71"/>
      <c r="C196" s="76"/>
      <c r="D196" s="77"/>
      <c r="E196" s="77"/>
      <c r="F196" s="77"/>
      <c r="G196" s="77"/>
    </row>
    <row r="197" spans="2:7" ht="14.25">
      <c r="B197" s="71"/>
      <c r="C197" s="76"/>
      <c r="D197" s="77"/>
      <c r="E197" s="77"/>
      <c r="F197" s="77"/>
      <c r="G197" s="77"/>
    </row>
    <row r="198" spans="3:7" ht="14.25">
      <c r="C198" s="71"/>
      <c r="D198" s="77"/>
      <c r="E198" s="77"/>
      <c r="F198" s="77"/>
      <c r="G198" s="77"/>
    </row>
    <row r="199" spans="3:7" ht="14.25">
      <c r="C199" s="71"/>
      <c r="D199" s="77"/>
      <c r="E199" s="77"/>
      <c r="F199" s="77"/>
      <c r="G199" s="77"/>
    </row>
  </sheetData>
  <sheetProtection/>
  <printOptions/>
  <pageMargins left="0.7" right="0.7" top="0.75" bottom="0.75" header="0.3" footer="0.3"/>
  <pageSetup horizontalDpi="600" verticalDpi="600" orientation="portrait" scale="72" r:id="rId1"/>
  <rowBreaks count="3" manualBreakCount="3">
    <brk id="52" max="255" man="1"/>
    <brk id="99" max="255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6">
      <selection activeCell="A18" sqref="A18"/>
    </sheetView>
  </sheetViews>
  <sheetFormatPr defaultColWidth="9.00390625" defaultRowHeight="14.25"/>
  <cols>
    <col min="1" max="1" width="35.50390625" style="0" customWidth="1"/>
    <col min="2" max="2" width="10.625" style="0" bestFit="1" customWidth="1"/>
    <col min="3" max="3" width="9.125" style="0" bestFit="1" customWidth="1"/>
    <col min="4" max="5" width="9.25390625" style="0" bestFit="1" customWidth="1"/>
    <col min="6" max="7" width="9.125" style="0" bestFit="1" customWidth="1"/>
    <col min="8" max="9" width="9.25390625" style="0" bestFit="1" customWidth="1"/>
    <col min="10" max="10" width="9.125" style="0" bestFit="1" customWidth="1"/>
    <col min="11" max="11" width="9.25390625" style="0" bestFit="1" customWidth="1"/>
    <col min="12" max="12" width="9.125" style="0" bestFit="1" customWidth="1"/>
    <col min="13" max="14" width="9.25390625" style="0" bestFit="1" customWidth="1"/>
    <col min="15" max="15" width="9.125" style="0" bestFit="1" customWidth="1"/>
    <col min="16" max="17" width="9.25390625" style="0" bestFit="1" customWidth="1"/>
  </cols>
  <sheetData>
    <row r="1" ht="15">
      <c r="A1" s="2" t="s">
        <v>124</v>
      </c>
    </row>
    <row r="2" ht="14.25">
      <c r="A2" s="32" t="s">
        <v>139</v>
      </c>
    </row>
    <row r="3" ht="14.25">
      <c r="A3" s="32"/>
    </row>
    <row r="4" spans="1:27" ht="14.25">
      <c r="A4" s="3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27" ht="15" thickBot="1">
      <c r="A5" t="s">
        <v>98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  <c r="Y5" s="30">
        <v>24</v>
      </c>
      <c r="Z5" s="30">
        <v>25</v>
      </c>
      <c r="AA5" s="30">
        <v>26</v>
      </c>
    </row>
    <row r="6" spans="1:27" ht="14.25">
      <c r="A6" t="s">
        <v>76</v>
      </c>
      <c r="B6" s="21">
        <f>$B$38*20%</f>
        <v>20000</v>
      </c>
      <c r="C6" s="21">
        <f aca="true" t="shared" si="0" ref="C6:AA6">B6*(1+$B$48)</f>
        <v>20600</v>
      </c>
      <c r="D6" s="21">
        <f t="shared" si="0"/>
        <v>21218</v>
      </c>
      <c r="E6" s="21">
        <f t="shared" si="0"/>
        <v>21854.54</v>
      </c>
      <c r="F6" s="21">
        <f t="shared" si="0"/>
        <v>22510.1762</v>
      </c>
      <c r="G6" s="21">
        <f t="shared" si="0"/>
        <v>23185.481486</v>
      </c>
      <c r="H6" s="21">
        <f t="shared" si="0"/>
        <v>23881.04593058</v>
      </c>
      <c r="I6" s="21">
        <f t="shared" si="0"/>
        <v>24597.4773084974</v>
      </c>
      <c r="J6" s="21">
        <f t="shared" si="0"/>
        <v>25335.401627752322</v>
      </c>
      <c r="K6" s="21">
        <f t="shared" si="0"/>
        <v>26095.46367658489</v>
      </c>
      <c r="L6" s="21">
        <f t="shared" si="0"/>
        <v>26878.32758688244</v>
      </c>
      <c r="M6" s="21">
        <f t="shared" si="0"/>
        <v>27684.677414488913</v>
      </c>
      <c r="N6" s="21">
        <f t="shared" si="0"/>
        <v>28515.21773692358</v>
      </c>
      <c r="O6" s="21">
        <f t="shared" si="0"/>
        <v>29370.67426903129</v>
      </c>
      <c r="P6" s="21">
        <f t="shared" si="0"/>
        <v>30251.79449710223</v>
      </c>
      <c r="Q6" s="21">
        <f t="shared" si="0"/>
        <v>31159.3483320153</v>
      </c>
      <c r="R6" s="21">
        <f t="shared" si="0"/>
        <v>32094.12878197576</v>
      </c>
      <c r="S6" s="21">
        <f t="shared" si="0"/>
        <v>33056.952645435034</v>
      </c>
      <c r="T6" s="21">
        <f t="shared" si="0"/>
        <v>34048.66122479809</v>
      </c>
      <c r="U6" s="21">
        <f t="shared" si="0"/>
        <v>35070.121061542035</v>
      </c>
      <c r="V6" s="21">
        <f t="shared" si="0"/>
        <v>36122.2246933883</v>
      </c>
      <c r="W6" s="21">
        <f t="shared" si="0"/>
        <v>37205.89143418995</v>
      </c>
      <c r="X6" s="21">
        <f t="shared" si="0"/>
        <v>38322.06817721565</v>
      </c>
      <c r="Y6" s="21">
        <f t="shared" si="0"/>
        <v>39471.730222532125</v>
      </c>
      <c r="Z6" s="21">
        <f t="shared" si="0"/>
        <v>40655.88212920809</v>
      </c>
      <c r="AA6" s="21">
        <f t="shared" si="0"/>
        <v>41875.55859308434</v>
      </c>
    </row>
    <row r="7" spans="1:27" ht="14.25">
      <c r="A7" t="s">
        <v>41</v>
      </c>
      <c r="B7" s="6">
        <f aca="true" t="shared" si="1" ref="B7:T7">$B$38/$B$39</f>
        <v>5000</v>
      </c>
      <c r="C7" s="6">
        <f t="shared" si="1"/>
        <v>5000</v>
      </c>
      <c r="D7" s="6">
        <f t="shared" si="1"/>
        <v>5000</v>
      </c>
      <c r="E7" s="6">
        <f t="shared" si="1"/>
        <v>5000</v>
      </c>
      <c r="F7" s="6">
        <f t="shared" si="1"/>
        <v>5000</v>
      </c>
      <c r="G7" s="6">
        <f t="shared" si="1"/>
        <v>5000</v>
      </c>
      <c r="H7" s="6">
        <f t="shared" si="1"/>
        <v>5000</v>
      </c>
      <c r="I7" s="6">
        <f t="shared" si="1"/>
        <v>5000</v>
      </c>
      <c r="J7" s="6">
        <f t="shared" si="1"/>
        <v>5000</v>
      </c>
      <c r="K7" s="6">
        <f t="shared" si="1"/>
        <v>5000</v>
      </c>
      <c r="L7" s="6">
        <f t="shared" si="1"/>
        <v>5000</v>
      </c>
      <c r="M7" s="6">
        <f t="shared" si="1"/>
        <v>5000</v>
      </c>
      <c r="N7" s="6">
        <f t="shared" si="1"/>
        <v>5000</v>
      </c>
      <c r="O7" s="6">
        <f t="shared" si="1"/>
        <v>5000</v>
      </c>
      <c r="P7" s="6">
        <f t="shared" si="1"/>
        <v>5000</v>
      </c>
      <c r="Q7" s="6">
        <f t="shared" si="1"/>
        <v>5000</v>
      </c>
      <c r="R7" s="6">
        <f t="shared" si="1"/>
        <v>5000</v>
      </c>
      <c r="S7" s="6">
        <f t="shared" si="1"/>
        <v>5000</v>
      </c>
      <c r="T7" s="6">
        <f t="shared" si="1"/>
        <v>5000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">
        <f>$B$38/$B$39</f>
        <v>5000</v>
      </c>
    </row>
    <row r="8" spans="1:27" ht="14.25">
      <c r="A8" t="s">
        <v>132</v>
      </c>
      <c r="B8" s="9">
        <f>B6-B7</f>
        <v>15000</v>
      </c>
      <c r="C8" s="9">
        <f aca="true" t="shared" si="2" ref="C8:AA8">C6-C7</f>
        <v>15600</v>
      </c>
      <c r="D8" s="9">
        <f t="shared" si="2"/>
        <v>16218</v>
      </c>
      <c r="E8" s="9">
        <f t="shared" si="2"/>
        <v>16854.54</v>
      </c>
      <c r="F8" s="9">
        <f t="shared" si="2"/>
        <v>17510.1762</v>
      </c>
      <c r="G8" s="9">
        <f t="shared" si="2"/>
        <v>18185.481486</v>
      </c>
      <c r="H8" s="9">
        <f t="shared" si="2"/>
        <v>18881.04593058</v>
      </c>
      <c r="I8" s="9">
        <f t="shared" si="2"/>
        <v>19597.4773084974</v>
      </c>
      <c r="J8" s="9">
        <f t="shared" si="2"/>
        <v>20335.401627752322</v>
      </c>
      <c r="K8" s="9">
        <f t="shared" si="2"/>
        <v>21095.46367658489</v>
      </c>
      <c r="L8" s="9">
        <f t="shared" si="2"/>
        <v>21878.32758688244</v>
      </c>
      <c r="M8" s="9">
        <f t="shared" si="2"/>
        <v>22684.677414488913</v>
      </c>
      <c r="N8" s="9">
        <f t="shared" si="2"/>
        <v>23515.21773692358</v>
      </c>
      <c r="O8" s="9">
        <f t="shared" si="2"/>
        <v>24370.67426903129</v>
      </c>
      <c r="P8" s="9">
        <f t="shared" si="2"/>
        <v>25251.79449710223</v>
      </c>
      <c r="Q8" s="9">
        <f t="shared" si="2"/>
        <v>26159.3483320153</v>
      </c>
      <c r="R8" s="9">
        <f t="shared" si="2"/>
        <v>27094.12878197576</v>
      </c>
      <c r="S8" s="9">
        <f t="shared" si="2"/>
        <v>28056.952645435034</v>
      </c>
      <c r="T8" s="9">
        <f t="shared" si="2"/>
        <v>29048.66122479809</v>
      </c>
      <c r="U8" s="9">
        <f t="shared" si="2"/>
        <v>35070.121061542035</v>
      </c>
      <c r="V8" s="9">
        <f t="shared" si="2"/>
        <v>36122.2246933883</v>
      </c>
      <c r="W8" s="9">
        <f t="shared" si="2"/>
        <v>37205.89143418995</v>
      </c>
      <c r="X8" s="9">
        <f t="shared" si="2"/>
        <v>38322.06817721565</v>
      </c>
      <c r="Y8" s="9">
        <f t="shared" si="2"/>
        <v>39471.730222532125</v>
      </c>
      <c r="Z8" s="9">
        <f t="shared" si="2"/>
        <v>40655.88212920809</v>
      </c>
      <c r="AA8" s="9">
        <f t="shared" si="2"/>
        <v>36875.55859308434</v>
      </c>
    </row>
    <row r="9" spans="1:27" ht="14.25">
      <c r="A9" t="s">
        <v>133</v>
      </c>
      <c r="B9" s="6">
        <f aca="true" t="shared" si="3" ref="B9:AA9">$B$46*B8</f>
        <v>5250</v>
      </c>
      <c r="C9" s="6">
        <f t="shared" si="3"/>
        <v>5460</v>
      </c>
      <c r="D9" s="6">
        <f t="shared" si="3"/>
        <v>5676.299999999999</v>
      </c>
      <c r="E9" s="6">
        <f t="shared" si="3"/>
        <v>5899.089</v>
      </c>
      <c r="F9" s="6">
        <f t="shared" si="3"/>
        <v>6128.56167</v>
      </c>
      <c r="G9" s="6">
        <f t="shared" si="3"/>
        <v>6364.9185201</v>
      </c>
      <c r="H9" s="6">
        <f t="shared" si="3"/>
        <v>6608.366075702999</v>
      </c>
      <c r="I9" s="6">
        <f t="shared" si="3"/>
        <v>6859.11705797409</v>
      </c>
      <c r="J9" s="6">
        <f t="shared" si="3"/>
        <v>7117.390569713312</v>
      </c>
      <c r="K9" s="6">
        <f t="shared" si="3"/>
        <v>7383.412286804712</v>
      </c>
      <c r="L9" s="6">
        <f t="shared" si="3"/>
        <v>7657.414655408853</v>
      </c>
      <c r="M9" s="6">
        <f t="shared" si="3"/>
        <v>7939.637095071119</v>
      </c>
      <c r="N9" s="6">
        <f t="shared" si="3"/>
        <v>8230.326207923252</v>
      </c>
      <c r="O9" s="6">
        <f t="shared" si="3"/>
        <v>8529.73599416095</v>
      </c>
      <c r="P9" s="6">
        <f t="shared" si="3"/>
        <v>8838.12807398578</v>
      </c>
      <c r="Q9" s="6">
        <f t="shared" si="3"/>
        <v>9155.771916205355</v>
      </c>
      <c r="R9" s="6">
        <f t="shared" si="3"/>
        <v>9482.945073691515</v>
      </c>
      <c r="S9" s="6">
        <f t="shared" si="3"/>
        <v>9819.933425902262</v>
      </c>
      <c r="T9" s="6">
        <f t="shared" si="3"/>
        <v>10167.031428679331</v>
      </c>
      <c r="U9" s="6">
        <f t="shared" si="3"/>
        <v>12274.542371539712</v>
      </c>
      <c r="V9" s="6">
        <f t="shared" si="3"/>
        <v>12642.778642685904</v>
      </c>
      <c r="W9" s="6">
        <f t="shared" si="3"/>
        <v>13022.062001966482</v>
      </c>
      <c r="X9" s="6">
        <f t="shared" si="3"/>
        <v>13412.723862025478</v>
      </c>
      <c r="Y9" s="6">
        <f t="shared" si="3"/>
        <v>13815.105577886243</v>
      </c>
      <c r="Z9" s="6">
        <f t="shared" si="3"/>
        <v>14229.55874522283</v>
      </c>
      <c r="AA9" s="6">
        <f t="shared" si="3"/>
        <v>12906.445507579518</v>
      </c>
    </row>
    <row r="10" spans="1:27" ht="15" thickBot="1">
      <c r="A10" t="s">
        <v>4</v>
      </c>
      <c r="B10" s="63">
        <f>B8-B9</f>
        <v>9750</v>
      </c>
      <c r="C10" s="63">
        <f aca="true" t="shared" si="4" ref="C10:AA10">C8-C9</f>
        <v>10140</v>
      </c>
      <c r="D10" s="63">
        <f t="shared" si="4"/>
        <v>10541.7</v>
      </c>
      <c r="E10" s="63">
        <f t="shared" si="4"/>
        <v>10955.451000000001</v>
      </c>
      <c r="F10" s="63">
        <f t="shared" si="4"/>
        <v>11381.614530000003</v>
      </c>
      <c r="G10" s="63">
        <f t="shared" si="4"/>
        <v>11820.5629659</v>
      </c>
      <c r="H10" s="63">
        <f t="shared" si="4"/>
        <v>12272.679854877</v>
      </c>
      <c r="I10" s="63">
        <f t="shared" si="4"/>
        <v>12738.36025052331</v>
      </c>
      <c r="J10" s="63">
        <f t="shared" si="4"/>
        <v>13218.01105803901</v>
      </c>
      <c r="K10" s="63">
        <f t="shared" si="4"/>
        <v>13712.05138978018</v>
      </c>
      <c r="L10" s="63">
        <f t="shared" si="4"/>
        <v>14220.912931473586</v>
      </c>
      <c r="M10" s="63">
        <f t="shared" si="4"/>
        <v>14745.040319417794</v>
      </c>
      <c r="N10" s="63">
        <f t="shared" si="4"/>
        <v>15284.891529000328</v>
      </c>
      <c r="O10" s="63">
        <f t="shared" si="4"/>
        <v>15840.93827487034</v>
      </c>
      <c r="P10" s="63">
        <f t="shared" si="4"/>
        <v>16413.66642311645</v>
      </c>
      <c r="Q10" s="63">
        <f t="shared" si="4"/>
        <v>17003.576415809945</v>
      </c>
      <c r="R10" s="63">
        <f t="shared" si="4"/>
        <v>17611.183708284247</v>
      </c>
      <c r="S10" s="63">
        <f t="shared" si="4"/>
        <v>18237.019219532773</v>
      </c>
      <c r="T10" s="63">
        <f t="shared" si="4"/>
        <v>18881.62979611876</v>
      </c>
      <c r="U10" s="63">
        <f t="shared" si="4"/>
        <v>22795.578690002323</v>
      </c>
      <c r="V10" s="63">
        <f t="shared" si="4"/>
        <v>23479.446050702398</v>
      </c>
      <c r="W10" s="63">
        <f t="shared" si="4"/>
        <v>24183.82943222347</v>
      </c>
      <c r="X10" s="63">
        <f t="shared" si="4"/>
        <v>24909.344315190174</v>
      </c>
      <c r="Y10" s="63">
        <f t="shared" si="4"/>
        <v>25656.624644645883</v>
      </c>
      <c r="Z10" s="63">
        <f t="shared" si="4"/>
        <v>26426.323383985262</v>
      </c>
      <c r="AA10" s="63">
        <f t="shared" si="4"/>
        <v>23969.113085504818</v>
      </c>
    </row>
    <row r="11" ht="15" thickTop="1"/>
    <row r="12" spans="1:27" ht="14.25">
      <c r="A12" t="s">
        <v>125</v>
      </c>
      <c r="B12" s="6">
        <f>B10+B7</f>
        <v>14750</v>
      </c>
      <c r="C12" s="6">
        <f aca="true" t="shared" si="5" ref="C12:AA12">C10+C7</f>
        <v>15140</v>
      </c>
      <c r="D12" s="6">
        <f t="shared" si="5"/>
        <v>15541.7</v>
      </c>
      <c r="E12" s="6">
        <f t="shared" si="5"/>
        <v>15955.451000000001</v>
      </c>
      <c r="F12" s="6">
        <f t="shared" si="5"/>
        <v>16381.614530000003</v>
      </c>
      <c r="G12" s="6">
        <f t="shared" si="5"/>
        <v>16820.5629659</v>
      </c>
      <c r="H12" s="6">
        <f t="shared" si="5"/>
        <v>17272.679854877002</v>
      </c>
      <c r="I12" s="6">
        <f t="shared" si="5"/>
        <v>17738.36025052331</v>
      </c>
      <c r="J12" s="6">
        <f t="shared" si="5"/>
        <v>18218.01105803901</v>
      </c>
      <c r="K12" s="6">
        <f t="shared" si="5"/>
        <v>18712.05138978018</v>
      </c>
      <c r="L12" s="6">
        <f t="shared" si="5"/>
        <v>19220.912931473584</v>
      </c>
      <c r="M12" s="6">
        <f t="shared" si="5"/>
        <v>19745.040319417792</v>
      </c>
      <c r="N12" s="6">
        <f t="shared" si="5"/>
        <v>20284.891529000328</v>
      </c>
      <c r="O12" s="6">
        <f t="shared" si="5"/>
        <v>20840.93827487034</v>
      </c>
      <c r="P12" s="6">
        <f t="shared" si="5"/>
        <v>21413.66642311645</v>
      </c>
      <c r="Q12" s="6">
        <f t="shared" si="5"/>
        <v>22003.576415809945</v>
      </c>
      <c r="R12" s="6">
        <f t="shared" si="5"/>
        <v>22611.183708284247</v>
      </c>
      <c r="S12" s="6">
        <f t="shared" si="5"/>
        <v>23237.019219532773</v>
      </c>
      <c r="T12" s="6">
        <f t="shared" si="5"/>
        <v>23881.62979611876</v>
      </c>
      <c r="U12" s="6">
        <f t="shared" si="5"/>
        <v>22795.578690002323</v>
      </c>
      <c r="V12" s="6">
        <f t="shared" si="5"/>
        <v>23479.446050702398</v>
      </c>
      <c r="W12" s="6">
        <f t="shared" si="5"/>
        <v>24183.82943222347</v>
      </c>
      <c r="X12" s="6">
        <f t="shared" si="5"/>
        <v>24909.344315190174</v>
      </c>
      <c r="Y12" s="6">
        <f t="shared" si="5"/>
        <v>25656.624644645883</v>
      </c>
      <c r="Z12" s="6">
        <f t="shared" si="5"/>
        <v>26426.323383985262</v>
      </c>
      <c r="AA12" s="6">
        <f t="shared" si="5"/>
        <v>28969.113085504818</v>
      </c>
    </row>
    <row r="13" spans="1:27" ht="14.25">
      <c r="A13" t="s">
        <v>130</v>
      </c>
      <c r="B13" s="6">
        <f>-$B$38*$B$43</f>
        <v>-1000</v>
      </c>
      <c r="C13" s="6">
        <f>-$B$38*$B$43</f>
        <v>-1000</v>
      </c>
      <c r="D13" s="6">
        <f>-$B$38*$B$43</f>
        <v>-1000</v>
      </c>
      <c r="E13" s="6">
        <f>-$B$38*$B$43</f>
        <v>-1000</v>
      </c>
      <c r="F13" s="64">
        <f>-$B$38*$B$42*F18</f>
        <v>-5306.817753124998</v>
      </c>
      <c r="G13" s="6">
        <f>-$B$38*$B$43</f>
        <v>-1000</v>
      </c>
      <c r="H13" s="6">
        <f>-$B$38*$B$43</f>
        <v>-1000</v>
      </c>
      <c r="I13" s="6">
        <f>-$B$38*$B$43</f>
        <v>-1000</v>
      </c>
      <c r="J13" s="6">
        <f>-$B$38*$B$43</f>
        <v>-1000</v>
      </c>
      <c r="K13" s="64">
        <f>-$B$38*$B$42*K18</f>
        <v>-5716.949876971175</v>
      </c>
      <c r="L13" s="6">
        <f>-$B$38*$B$43</f>
        <v>-1000</v>
      </c>
      <c r="M13" s="6">
        <f>-$B$38*$B$43</f>
        <v>-1000</v>
      </c>
      <c r="N13" s="6">
        <f>-$B$38*$B$43</f>
        <v>-1000</v>
      </c>
      <c r="O13" s="6">
        <f>-$B$38*$B$43</f>
        <v>-1000</v>
      </c>
      <c r="P13" s="64">
        <f>-$B$38*$B$42*P18</f>
        <v>-6158.778653469791</v>
      </c>
      <c r="Q13" s="6">
        <f>-$B$38*$B$43</f>
        <v>-1000</v>
      </c>
      <c r="R13" s="6">
        <f>-$B$38*$B$43</f>
        <v>-1000</v>
      </c>
      <c r="S13" s="6">
        <f>-$B$38*$B$43</f>
        <v>-1000</v>
      </c>
      <c r="T13" s="6">
        <f>-$B$38*$B$43</f>
        <v>-1000</v>
      </c>
      <c r="U13" s="64">
        <f>-$B$38*$B$42*U18</f>
        <v>-6634.753726847552</v>
      </c>
      <c r="V13" s="6">
        <f>-$B$38*$B$43</f>
        <v>-1000</v>
      </c>
      <c r="W13" s="6">
        <f>-$B$38*$B$43</f>
        <v>-1000</v>
      </c>
      <c r="X13" s="6">
        <f>-$B$38*$B$43</f>
        <v>-1000</v>
      </c>
      <c r="Y13" s="6">
        <f>-$B$38*$B$43</f>
        <v>-1000</v>
      </c>
      <c r="Z13" s="65">
        <f>-B38*Z18+B38*B41</f>
        <v>-132950.28119290213</v>
      </c>
      <c r="AA13" s="6">
        <f>-$B$38*$B$43</f>
        <v>-1000</v>
      </c>
    </row>
    <row r="14" spans="1:27" ht="14.25">
      <c r="A14" t="s">
        <v>24</v>
      </c>
      <c r="B14" s="9">
        <f>B13+B12</f>
        <v>13750</v>
      </c>
      <c r="C14" s="9">
        <f aca="true" t="shared" si="6" ref="C14:AA14">C13+C12</f>
        <v>14140</v>
      </c>
      <c r="D14" s="9">
        <f t="shared" si="6"/>
        <v>14541.7</v>
      </c>
      <c r="E14" s="9">
        <f t="shared" si="6"/>
        <v>14955.451000000001</v>
      </c>
      <c r="F14" s="9">
        <f t="shared" si="6"/>
        <v>11074.796776875006</v>
      </c>
      <c r="G14" s="9">
        <f t="shared" si="6"/>
        <v>15820.5629659</v>
      </c>
      <c r="H14" s="9">
        <f t="shared" si="6"/>
        <v>16272.679854877002</v>
      </c>
      <c r="I14" s="9">
        <f t="shared" si="6"/>
        <v>16738.36025052331</v>
      </c>
      <c r="J14" s="9">
        <f t="shared" si="6"/>
        <v>17218.01105803901</v>
      </c>
      <c r="K14" s="9">
        <f t="shared" si="6"/>
        <v>12995.101512809004</v>
      </c>
      <c r="L14" s="9">
        <f t="shared" si="6"/>
        <v>18220.912931473584</v>
      </c>
      <c r="M14" s="9">
        <f t="shared" si="6"/>
        <v>18745.040319417792</v>
      </c>
      <c r="N14" s="9">
        <f t="shared" si="6"/>
        <v>19284.891529000328</v>
      </c>
      <c r="O14" s="9">
        <f t="shared" si="6"/>
        <v>19840.93827487034</v>
      </c>
      <c r="P14" s="9">
        <f t="shared" si="6"/>
        <v>15254.887769646659</v>
      </c>
      <c r="Q14" s="9">
        <f t="shared" si="6"/>
        <v>21003.576415809945</v>
      </c>
      <c r="R14" s="9">
        <f t="shared" si="6"/>
        <v>21611.183708284247</v>
      </c>
      <c r="S14" s="9">
        <f t="shared" si="6"/>
        <v>22237.019219532773</v>
      </c>
      <c r="T14" s="9">
        <f t="shared" si="6"/>
        <v>22881.62979611876</v>
      </c>
      <c r="U14" s="9">
        <f t="shared" si="6"/>
        <v>16160.824963154771</v>
      </c>
      <c r="V14" s="9">
        <f t="shared" si="6"/>
        <v>22479.446050702398</v>
      </c>
      <c r="W14" s="9">
        <f t="shared" si="6"/>
        <v>23183.82943222347</v>
      </c>
      <c r="X14" s="9">
        <f t="shared" si="6"/>
        <v>23909.344315190174</v>
      </c>
      <c r="Y14" s="9">
        <f t="shared" si="6"/>
        <v>24656.624644645883</v>
      </c>
      <c r="Z14" s="9">
        <f t="shared" si="6"/>
        <v>-106523.95780891686</v>
      </c>
      <c r="AA14" s="9">
        <f t="shared" si="6"/>
        <v>27969.113085504818</v>
      </c>
    </row>
    <row r="15" spans="1:27" ht="14.25">
      <c r="A15" s="1" t="s">
        <v>140</v>
      </c>
      <c r="AA15" s="6">
        <f>AA14/(B47-B48)</f>
        <v>233075.94237920683</v>
      </c>
    </row>
    <row r="16" spans="1:27" ht="14.25">
      <c r="A16" s="32" t="s">
        <v>141</v>
      </c>
      <c r="B16" s="69">
        <f>B15+B14</f>
        <v>13750</v>
      </c>
      <c r="C16" s="69">
        <f aca="true" t="shared" si="7" ref="C16:AA16">C15+C14</f>
        <v>14140</v>
      </c>
      <c r="D16" s="69">
        <f t="shared" si="7"/>
        <v>14541.7</v>
      </c>
      <c r="E16" s="69">
        <f t="shared" si="7"/>
        <v>14955.451000000001</v>
      </c>
      <c r="F16" s="69">
        <f t="shared" si="7"/>
        <v>11074.796776875006</v>
      </c>
      <c r="G16" s="69">
        <f t="shared" si="7"/>
        <v>15820.5629659</v>
      </c>
      <c r="H16" s="69">
        <f t="shared" si="7"/>
        <v>16272.679854877002</v>
      </c>
      <c r="I16" s="69">
        <f t="shared" si="7"/>
        <v>16738.36025052331</v>
      </c>
      <c r="J16" s="69">
        <f t="shared" si="7"/>
        <v>17218.01105803901</v>
      </c>
      <c r="K16" s="69">
        <f t="shared" si="7"/>
        <v>12995.101512809004</v>
      </c>
      <c r="L16" s="69">
        <f t="shared" si="7"/>
        <v>18220.912931473584</v>
      </c>
      <c r="M16" s="69">
        <f t="shared" si="7"/>
        <v>18745.040319417792</v>
      </c>
      <c r="N16" s="69">
        <f t="shared" si="7"/>
        <v>19284.891529000328</v>
      </c>
      <c r="O16" s="69">
        <f t="shared" si="7"/>
        <v>19840.93827487034</v>
      </c>
      <c r="P16" s="69">
        <f t="shared" si="7"/>
        <v>15254.887769646659</v>
      </c>
      <c r="Q16" s="69">
        <f t="shared" si="7"/>
        <v>21003.576415809945</v>
      </c>
      <c r="R16" s="69">
        <f t="shared" si="7"/>
        <v>21611.183708284247</v>
      </c>
      <c r="S16" s="69">
        <f t="shared" si="7"/>
        <v>22237.019219532773</v>
      </c>
      <c r="T16" s="69">
        <f t="shared" si="7"/>
        <v>22881.62979611876</v>
      </c>
      <c r="U16" s="69">
        <f t="shared" si="7"/>
        <v>16160.824963154771</v>
      </c>
      <c r="V16" s="69">
        <f t="shared" si="7"/>
        <v>22479.446050702398</v>
      </c>
      <c r="W16" s="69">
        <f t="shared" si="7"/>
        <v>23183.82943222347</v>
      </c>
      <c r="X16" s="69">
        <f t="shared" si="7"/>
        <v>23909.344315190174</v>
      </c>
      <c r="Y16" s="69">
        <f t="shared" si="7"/>
        <v>24656.624644645883</v>
      </c>
      <c r="Z16" s="69">
        <f t="shared" si="7"/>
        <v>-106523.95780891686</v>
      </c>
      <c r="AA16" s="69">
        <f t="shared" si="7"/>
        <v>261045.05546471165</v>
      </c>
    </row>
    <row r="17" spans="1:27" ht="14.25">
      <c r="A17" s="32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</row>
    <row r="18" spans="1:27" ht="14.25">
      <c r="A18" s="32" t="s">
        <v>142</v>
      </c>
      <c r="B18" s="49">
        <v>1</v>
      </c>
      <c r="C18" s="49">
        <f aca="true" t="shared" si="8" ref="C18:AA18">B18*(1+$B$50)</f>
        <v>1.015</v>
      </c>
      <c r="D18" s="49">
        <f t="shared" si="8"/>
        <v>1.0302249999999997</v>
      </c>
      <c r="E18" s="49">
        <f t="shared" si="8"/>
        <v>1.0456783749999996</v>
      </c>
      <c r="F18" s="49">
        <f t="shared" si="8"/>
        <v>1.0613635506249994</v>
      </c>
      <c r="G18" s="49">
        <f t="shared" si="8"/>
        <v>1.0772840038843743</v>
      </c>
      <c r="H18" s="49">
        <f t="shared" si="8"/>
        <v>1.0934432639426397</v>
      </c>
      <c r="I18" s="49">
        <f t="shared" si="8"/>
        <v>1.1098449129017791</v>
      </c>
      <c r="J18" s="49">
        <f t="shared" si="8"/>
        <v>1.1264925865953057</v>
      </c>
      <c r="K18" s="49">
        <f t="shared" si="8"/>
        <v>1.1433899753942351</v>
      </c>
      <c r="L18" s="49">
        <f t="shared" si="8"/>
        <v>1.1605408250251485</v>
      </c>
      <c r="M18" s="49">
        <f t="shared" si="8"/>
        <v>1.1779489374005256</v>
      </c>
      <c r="N18" s="49">
        <f t="shared" si="8"/>
        <v>1.1956181714615335</v>
      </c>
      <c r="O18" s="49">
        <f t="shared" si="8"/>
        <v>1.2135524440334564</v>
      </c>
      <c r="P18" s="49">
        <f t="shared" si="8"/>
        <v>1.2317557306939582</v>
      </c>
      <c r="Q18" s="49">
        <f t="shared" si="8"/>
        <v>1.2502320666543674</v>
      </c>
      <c r="R18" s="49">
        <f t="shared" si="8"/>
        <v>1.2689855476541827</v>
      </c>
      <c r="S18" s="49">
        <f t="shared" si="8"/>
        <v>1.2880203308689953</v>
      </c>
      <c r="T18" s="49">
        <f t="shared" si="8"/>
        <v>1.30734063583203</v>
      </c>
      <c r="U18" s="49">
        <f t="shared" si="8"/>
        <v>1.3269507453695104</v>
      </c>
      <c r="V18" s="49">
        <f t="shared" si="8"/>
        <v>1.3468550065500529</v>
      </c>
      <c r="W18" s="49">
        <f t="shared" si="8"/>
        <v>1.3670578316483035</v>
      </c>
      <c r="X18" s="49">
        <f t="shared" si="8"/>
        <v>1.387563699123028</v>
      </c>
      <c r="Y18" s="49">
        <f t="shared" si="8"/>
        <v>1.4083771546098733</v>
      </c>
      <c r="Z18" s="49">
        <f t="shared" si="8"/>
        <v>1.4295028119290214</v>
      </c>
      <c r="AA18" s="49">
        <f t="shared" si="8"/>
        <v>1.4509453541079567</v>
      </c>
    </row>
    <row r="19" spans="1:27" ht="14.25">
      <c r="A19" s="32" t="s">
        <v>136</v>
      </c>
      <c r="B19" s="49">
        <f aca="true" t="shared" si="9" ref="B19:AA19">1/(1+$B$47)^B5</f>
        <v>0.8695652173913044</v>
      </c>
      <c r="C19" s="49">
        <f t="shared" si="9"/>
        <v>0.7561436672967865</v>
      </c>
      <c r="D19" s="49">
        <f t="shared" si="9"/>
        <v>0.6575162324319883</v>
      </c>
      <c r="E19" s="49">
        <f t="shared" si="9"/>
        <v>0.5717532455930334</v>
      </c>
      <c r="F19" s="49">
        <f t="shared" si="9"/>
        <v>0.4971767352982899</v>
      </c>
      <c r="G19" s="49">
        <f t="shared" si="9"/>
        <v>0.43232759591155645</v>
      </c>
      <c r="H19" s="49">
        <f t="shared" si="9"/>
        <v>0.3759370399230927</v>
      </c>
      <c r="I19" s="49">
        <f t="shared" si="9"/>
        <v>0.32690177384616753</v>
      </c>
      <c r="J19" s="49">
        <f t="shared" si="9"/>
        <v>0.28426241204014574</v>
      </c>
      <c r="K19" s="49">
        <f t="shared" si="9"/>
        <v>0.24718470612186585</v>
      </c>
      <c r="L19" s="49">
        <f t="shared" si="9"/>
        <v>0.21494322271466598</v>
      </c>
      <c r="M19" s="49">
        <f t="shared" si="9"/>
        <v>0.1869071501866661</v>
      </c>
      <c r="N19" s="49">
        <f t="shared" si="9"/>
        <v>0.16252795668405748</v>
      </c>
      <c r="O19" s="49">
        <f t="shared" si="9"/>
        <v>0.14132865798613695</v>
      </c>
      <c r="P19" s="49">
        <f t="shared" si="9"/>
        <v>0.1228944852053365</v>
      </c>
      <c r="Q19" s="49">
        <f t="shared" si="9"/>
        <v>0.10686476974377089</v>
      </c>
      <c r="R19" s="49">
        <f t="shared" si="9"/>
        <v>0.09292588673371383</v>
      </c>
      <c r="S19" s="49">
        <f t="shared" si="9"/>
        <v>0.0808051188988816</v>
      </c>
      <c r="T19" s="49">
        <f t="shared" si="9"/>
        <v>0.07026532078163618</v>
      </c>
      <c r="U19" s="49">
        <f t="shared" si="9"/>
        <v>0.0611002789405532</v>
      </c>
      <c r="V19" s="49">
        <f t="shared" si="9"/>
        <v>0.05313067733961148</v>
      </c>
      <c r="W19" s="49">
        <f t="shared" si="9"/>
        <v>0.046200588990966504</v>
      </c>
      <c r="X19" s="49">
        <f t="shared" si="9"/>
        <v>0.040174425209536097</v>
      </c>
      <c r="Y19" s="49">
        <f t="shared" si="9"/>
        <v>0.03493428279090096</v>
      </c>
      <c r="Z19" s="49">
        <f t="shared" si="9"/>
        <v>0.0303776372094791</v>
      </c>
      <c r="AA19" s="49">
        <f t="shared" si="9"/>
        <v>0.026415336703894867</v>
      </c>
    </row>
    <row r="20" spans="1:7" ht="14.25">
      <c r="A20" s="66"/>
      <c r="B20" s="66"/>
      <c r="C20" s="66"/>
      <c r="D20" s="66"/>
      <c r="E20" s="66"/>
      <c r="F20" s="66"/>
      <c r="G20" s="66"/>
    </row>
    <row r="21" ht="14.25">
      <c r="A21" t="s">
        <v>134</v>
      </c>
    </row>
    <row r="22" spans="2:7" ht="14.25">
      <c r="B22" s="6">
        <f aca="true" t="shared" si="10" ref="B22:G22">B14</f>
        <v>13750</v>
      </c>
      <c r="C22" s="6">
        <f t="shared" si="10"/>
        <v>14140</v>
      </c>
      <c r="D22" s="6">
        <f t="shared" si="10"/>
        <v>14541.7</v>
      </c>
      <c r="E22" s="6">
        <f t="shared" si="10"/>
        <v>14955.451000000001</v>
      </c>
      <c r="F22" s="6">
        <f t="shared" si="10"/>
        <v>11074.796776875006</v>
      </c>
      <c r="G22" s="6">
        <f t="shared" si="10"/>
        <v>15820.5629659</v>
      </c>
    </row>
    <row r="23" spans="1:7" ht="14.25">
      <c r="A23" t="s">
        <v>138</v>
      </c>
      <c r="G23" s="6">
        <f>H14/(B47-B48)</f>
        <v>135605.66545730835</v>
      </c>
    </row>
    <row r="24" spans="2:7" ht="14.25">
      <c r="B24" s="9">
        <f aca="true" t="shared" si="11" ref="B24:G24">SUM(B22:B23)</f>
        <v>13750</v>
      </c>
      <c r="C24" s="9">
        <f t="shared" si="11"/>
        <v>14140</v>
      </c>
      <c r="D24" s="9">
        <f t="shared" si="11"/>
        <v>14541.7</v>
      </c>
      <c r="E24" s="9">
        <f t="shared" si="11"/>
        <v>14955.451000000001</v>
      </c>
      <c r="F24" s="9">
        <f t="shared" si="11"/>
        <v>11074.796776875006</v>
      </c>
      <c r="G24" s="9">
        <f t="shared" si="11"/>
        <v>151426.22842320835</v>
      </c>
    </row>
    <row r="25" spans="1:8" ht="15">
      <c r="A25" s="2" t="s">
        <v>135</v>
      </c>
      <c r="B25" s="27">
        <f>NPV(B47,B24:G24)</f>
        <v>111732.49323819941</v>
      </c>
      <c r="H25" s="6"/>
    </row>
    <row r="26" spans="1:7" ht="14.25">
      <c r="A26" s="35"/>
      <c r="B26" s="35"/>
      <c r="C26" s="35"/>
      <c r="D26" s="35"/>
      <c r="E26" s="35"/>
      <c r="F26" s="35"/>
      <c r="G26" s="35"/>
    </row>
    <row r="27" ht="14.25">
      <c r="A27" t="s">
        <v>134</v>
      </c>
    </row>
    <row r="28" spans="2:7" ht="14.25">
      <c r="B28" s="6">
        <f aca="true" t="shared" si="12" ref="B28:G28">B14</f>
        <v>13750</v>
      </c>
      <c r="C28" s="6">
        <f t="shared" si="12"/>
        <v>14140</v>
      </c>
      <c r="D28" s="6">
        <f t="shared" si="12"/>
        <v>14541.7</v>
      </c>
      <c r="E28" s="6">
        <f t="shared" si="12"/>
        <v>14955.451000000001</v>
      </c>
      <c r="F28" s="6">
        <f t="shared" si="12"/>
        <v>11074.796776875006</v>
      </c>
      <c r="G28" s="6">
        <f t="shared" si="12"/>
        <v>15820.5629659</v>
      </c>
    </row>
    <row r="29" spans="1:7" ht="14.25">
      <c r="A29" t="s">
        <v>120</v>
      </c>
      <c r="G29" s="6">
        <f>(H10*(1-B48/B49))/(B47-B48)</f>
        <v>86931.48230537875</v>
      </c>
    </row>
    <row r="30" spans="2:7" ht="14.25">
      <c r="B30" s="9">
        <f aca="true" t="shared" si="13" ref="B30:G30">SUM(B28:B29)</f>
        <v>13750</v>
      </c>
      <c r="C30" s="9">
        <f t="shared" si="13"/>
        <v>14140</v>
      </c>
      <c r="D30" s="9">
        <f t="shared" si="13"/>
        <v>14541.7</v>
      </c>
      <c r="E30" s="9">
        <f t="shared" si="13"/>
        <v>14955.451000000001</v>
      </c>
      <c r="F30" s="9">
        <f t="shared" si="13"/>
        <v>11074.796776875006</v>
      </c>
      <c r="G30" s="9">
        <f t="shared" si="13"/>
        <v>102752.04527127875</v>
      </c>
    </row>
    <row r="31" spans="1:2" ht="15">
      <c r="A31" s="2" t="s">
        <v>135</v>
      </c>
      <c r="B31" s="27">
        <f>NPV(B47,B30:G30)</f>
        <v>90689.30065316692</v>
      </c>
    </row>
    <row r="32" spans="1:7" ht="15">
      <c r="A32" s="67"/>
      <c r="B32" s="68"/>
      <c r="C32" s="35"/>
      <c r="D32" s="35"/>
      <c r="E32" s="35"/>
      <c r="F32" s="35"/>
      <c r="G32" s="35"/>
    </row>
    <row r="33" spans="1:8" ht="15">
      <c r="A33" s="2" t="s">
        <v>137</v>
      </c>
      <c r="B33" s="27">
        <f>NPV(B47,B16:AA16)</f>
        <v>104427.42998433873</v>
      </c>
      <c r="D33" s="6"/>
      <c r="H33" s="6"/>
    </row>
    <row r="34" spans="1:3" ht="14.25">
      <c r="A34" t="s">
        <v>151</v>
      </c>
      <c r="B34" s="6">
        <f>B25-B33</f>
        <v>7305.063253860688</v>
      </c>
      <c r="C34" s="6"/>
    </row>
    <row r="35" spans="1:2" ht="14.25">
      <c r="A35" t="s">
        <v>152</v>
      </c>
      <c r="B35" s="6">
        <f>B31-B33</f>
        <v>-13738.129331171804</v>
      </c>
    </row>
    <row r="38" spans="1:3" ht="14.25">
      <c r="A38" t="s">
        <v>126</v>
      </c>
      <c r="B38" s="21">
        <v>100000</v>
      </c>
      <c r="C38" s="32"/>
    </row>
    <row r="39" spans="1:3" ht="14.25">
      <c r="A39" t="s">
        <v>127</v>
      </c>
      <c r="B39" s="22">
        <v>20</v>
      </c>
      <c r="C39" t="s">
        <v>51</v>
      </c>
    </row>
    <row r="40" spans="1:3" ht="14.25">
      <c r="A40" t="s">
        <v>128</v>
      </c>
      <c r="B40" s="22">
        <v>25</v>
      </c>
      <c r="C40" t="s">
        <v>51</v>
      </c>
    </row>
    <row r="41" spans="1:3" ht="14.25">
      <c r="A41" t="s">
        <v>143</v>
      </c>
      <c r="B41" s="19">
        <v>0.1</v>
      </c>
      <c r="C41" t="s">
        <v>144</v>
      </c>
    </row>
    <row r="42" spans="1:2" ht="14.25">
      <c r="A42" t="s">
        <v>129</v>
      </c>
      <c r="B42" s="19">
        <v>0.05</v>
      </c>
    </row>
    <row r="43" spans="1:2" ht="14.25">
      <c r="A43" t="s">
        <v>131</v>
      </c>
      <c r="B43" s="19">
        <v>0.01</v>
      </c>
    </row>
    <row r="45" spans="6:9" ht="14.25">
      <c r="F45" s="6"/>
      <c r="G45" s="71"/>
      <c r="H45" s="71"/>
      <c r="I45" s="71"/>
    </row>
    <row r="46" spans="1:6" ht="14.25">
      <c r="A46" t="s">
        <v>133</v>
      </c>
      <c r="B46" s="19">
        <v>0.35</v>
      </c>
      <c r="F46" s="71"/>
    </row>
    <row r="47" spans="1:6" ht="14.25">
      <c r="A47" s="44" t="s">
        <v>92</v>
      </c>
      <c r="B47" s="19">
        <v>0.15</v>
      </c>
      <c r="F47" s="71"/>
    </row>
    <row r="48" spans="1:6" ht="14.25">
      <c r="A48" s="44" t="s">
        <v>93</v>
      </c>
      <c r="B48" s="19">
        <v>0.03</v>
      </c>
      <c r="F48" s="71"/>
    </row>
    <row r="49" spans="1:2" ht="14.25">
      <c r="A49" s="44" t="s">
        <v>99</v>
      </c>
      <c r="B49" s="19">
        <v>0.2</v>
      </c>
    </row>
    <row r="50" spans="1:2" ht="14.25">
      <c r="A50" s="44" t="s">
        <v>142</v>
      </c>
      <c r="B50" s="70">
        <v>0.015</v>
      </c>
    </row>
  </sheetData>
  <sheetProtection/>
  <printOptions/>
  <pageMargins left="0.7" right="0.7" top="0.75" bottom="0.75" header="0.3" footer="0.3"/>
  <pageSetup horizontalDpi="600" verticalDpi="600" orientation="landscape" scale="89" r:id="rId1"/>
  <rowBreaks count="1" manualBreakCount="1">
    <brk id="32" max="255" man="1"/>
  </rowBreaks>
  <colBreaks count="1" manualBreakCount="1">
    <brk id="17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26" sqref="A26"/>
    </sheetView>
  </sheetViews>
  <sheetFormatPr defaultColWidth="9.00390625" defaultRowHeight="14.25"/>
  <cols>
    <col min="1" max="1" width="40.00390625" style="0" customWidth="1"/>
    <col min="2" max="2" width="5.50390625" style="0" customWidth="1"/>
    <col min="3" max="3" width="11.00390625" style="0" customWidth="1"/>
    <col min="6" max="6" width="11.00390625" style="0" customWidth="1"/>
    <col min="9" max="9" width="10.50390625" style="0" customWidth="1"/>
    <col min="10" max="10" width="11.50390625" style="0" customWidth="1"/>
  </cols>
  <sheetData>
    <row r="1" ht="15">
      <c r="A1" s="2" t="s">
        <v>59</v>
      </c>
    </row>
    <row r="2" ht="15">
      <c r="A2" s="2"/>
    </row>
    <row r="3" spans="1:10" ht="14.25">
      <c r="A3" t="s">
        <v>49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</row>
    <row r="4" spans="3:10" ht="57">
      <c r="C4" s="3" t="s">
        <v>60</v>
      </c>
      <c r="D4" s="3" t="s">
        <v>45</v>
      </c>
      <c r="E4" s="3" t="s">
        <v>46</v>
      </c>
      <c r="F4" s="3" t="s">
        <v>47</v>
      </c>
      <c r="G4" s="3" t="s">
        <v>48</v>
      </c>
      <c r="H4" s="3" t="s">
        <v>57</v>
      </c>
      <c r="I4" s="3" t="s">
        <v>66</v>
      </c>
      <c r="J4" s="3" t="s">
        <v>65</v>
      </c>
    </row>
    <row r="5" spans="1:15" ht="14.25">
      <c r="A5" s="12"/>
      <c r="B5" s="12"/>
      <c r="C5" s="1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2" ht="15">
      <c r="A6" s="16" t="s">
        <v>5</v>
      </c>
      <c r="B6" s="16"/>
    </row>
    <row r="7" spans="1:15" ht="14.25">
      <c r="A7" s="1" t="s">
        <v>0</v>
      </c>
      <c r="B7" s="1"/>
      <c r="C7" s="21">
        <v>0</v>
      </c>
      <c r="D7" s="21">
        <v>500</v>
      </c>
      <c r="E7" s="21"/>
      <c r="F7" s="21"/>
      <c r="G7" s="21">
        <v>500</v>
      </c>
      <c r="H7" s="6">
        <f>G7*(1+$C$83)</f>
        <v>550</v>
      </c>
      <c r="I7" s="6">
        <f>H7*(1+$C$83)</f>
        <v>605</v>
      </c>
      <c r="J7" s="6">
        <f aca="true" t="shared" si="0" ref="J7:O7">I7*(1+$C$83)</f>
        <v>665.5</v>
      </c>
      <c r="K7" s="6">
        <f t="shared" si="0"/>
        <v>732.0500000000001</v>
      </c>
      <c r="L7" s="6">
        <f t="shared" si="0"/>
        <v>805.2550000000001</v>
      </c>
      <c r="M7" s="6">
        <f t="shared" si="0"/>
        <v>885.7805000000002</v>
      </c>
      <c r="N7" s="6">
        <f t="shared" si="0"/>
        <v>974.3585500000003</v>
      </c>
      <c r="O7" s="6">
        <f t="shared" si="0"/>
        <v>1071.7944050000003</v>
      </c>
    </row>
    <row r="8" spans="1:15" ht="14.25">
      <c r="A8" s="1" t="s">
        <v>63</v>
      </c>
      <c r="B8" s="1"/>
      <c r="C8" s="6">
        <f aca="true" t="shared" si="1" ref="C8:I8">C7*(1-$C$84)</f>
        <v>0</v>
      </c>
      <c r="D8" s="6">
        <f t="shared" si="1"/>
        <v>375</v>
      </c>
      <c r="E8" s="6">
        <f t="shared" si="1"/>
        <v>0</v>
      </c>
      <c r="F8" s="6">
        <f t="shared" si="1"/>
        <v>0</v>
      </c>
      <c r="G8" s="6">
        <f t="shared" si="1"/>
        <v>375</v>
      </c>
      <c r="H8" s="6">
        <f t="shared" si="1"/>
        <v>412.5</v>
      </c>
      <c r="I8" s="6">
        <f t="shared" si="1"/>
        <v>453.75</v>
      </c>
      <c r="J8" s="6">
        <f aca="true" t="shared" si="2" ref="J8:O8">J7*(1-$C$84)</f>
        <v>499.125</v>
      </c>
      <c r="K8" s="6">
        <f t="shared" si="2"/>
        <v>549.0375</v>
      </c>
      <c r="L8" s="6">
        <f t="shared" si="2"/>
        <v>603.9412500000001</v>
      </c>
      <c r="M8" s="6">
        <f t="shared" si="2"/>
        <v>664.3353750000001</v>
      </c>
      <c r="N8" s="6">
        <f t="shared" si="2"/>
        <v>730.7689125000002</v>
      </c>
      <c r="O8" s="6">
        <f t="shared" si="2"/>
        <v>803.8458037500002</v>
      </c>
    </row>
    <row r="9" spans="1:15" ht="15">
      <c r="A9" s="5" t="s">
        <v>1</v>
      </c>
      <c r="B9" s="5"/>
      <c r="C9" s="7">
        <f aca="true" t="shared" si="3" ref="C9:I9">C7-C8</f>
        <v>0</v>
      </c>
      <c r="D9" s="7">
        <f t="shared" si="3"/>
        <v>125</v>
      </c>
      <c r="E9" s="7">
        <f t="shared" si="3"/>
        <v>0</v>
      </c>
      <c r="F9" s="7">
        <f t="shared" si="3"/>
        <v>0</v>
      </c>
      <c r="G9" s="7">
        <f t="shared" si="3"/>
        <v>125</v>
      </c>
      <c r="H9" s="7">
        <f t="shared" si="3"/>
        <v>137.5</v>
      </c>
      <c r="I9" s="7">
        <f t="shared" si="3"/>
        <v>151.25</v>
      </c>
      <c r="J9" s="7">
        <f aca="true" t="shared" si="4" ref="J9:O9">J7-J8</f>
        <v>166.375</v>
      </c>
      <c r="K9" s="7">
        <f t="shared" si="4"/>
        <v>183.01250000000005</v>
      </c>
      <c r="L9" s="7">
        <f t="shared" si="4"/>
        <v>201.31375000000003</v>
      </c>
      <c r="M9" s="7">
        <f t="shared" si="4"/>
        <v>221.44512500000008</v>
      </c>
      <c r="N9" s="7">
        <f t="shared" si="4"/>
        <v>243.5896375000001</v>
      </c>
      <c r="O9" s="7">
        <f t="shared" si="4"/>
        <v>267.94860125000014</v>
      </c>
    </row>
    <row r="10" spans="1:15" ht="14.25">
      <c r="A10" s="1"/>
      <c r="B10" s="1"/>
      <c r="C10" s="6"/>
      <c r="D10" s="6"/>
      <c r="E10" s="6"/>
      <c r="F10" s="6"/>
      <c r="G10" s="26"/>
      <c r="H10" s="6"/>
      <c r="I10" s="28"/>
      <c r="J10" s="28"/>
      <c r="K10" s="28"/>
      <c r="L10" s="28"/>
      <c r="M10" s="6"/>
      <c r="N10" s="6"/>
      <c r="O10" s="6"/>
    </row>
    <row r="11" spans="1:15" ht="14.25">
      <c r="A11" s="10" t="s">
        <v>64</v>
      </c>
      <c r="B11" s="1"/>
      <c r="C11" s="8">
        <f aca="true" t="shared" si="5" ref="C11:H11">C7*$C$86</f>
        <v>0</v>
      </c>
      <c r="D11" s="8">
        <f t="shared" si="5"/>
        <v>75</v>
      </c>
      <c r="E11" s="8">
        <f t="shared" si="5"/>
        <v>0</v>
      </c>
      <c r="F11" s="8">
        <f t="shared" si="5"/>
        <v>0</v>
      </c>
      <c r="G11" s="8">
        <f t="shared" si="5"/>
        <v>75</v>
      </c>
      <c r="H11" s="8">
        <f t="shared" si="5"/>
        <v>82.5</v>
      </c>
      <c r="I11" s="8">
        <f aca="true" t="shared" si="6" ref="I11:O11">I7*$C$86</f>
        <v>90.75</v>
      </c>
      <c r="J11" s="8">
        <f t="shared" si="6"/>
        <v>99.825</v>
      </c>
      <c r="K11" s="8">
        <f t="shared" si="6"/>
        <v>109.8075</v>
      </c>
      <c r="L11" s="8">
        <f t="shared" si="6"/>
        <v>120.78825</v>
      </c>
      <c r="M11" s="8">
        <f t="shared" si="6"/>
        <v>132.86707500000003</v>
      </c>
      <c r="N11" s="8">
        <f t="shared" si="6"/>
        <v>146.15378250000003</v>
      </c>
      <c r="O11" s="8">
        <f t="shared" si="6"/>
        <v>160.76916075000005</v>
      </c>
    </row>
    <row r="12" spans="1:15" ht="14.25">
      <c r="A12" s="10" t="s">
        <v>39</v>
      </c>
      <c r="B12" s="1"/>
      <c r="C12" s="8">
        <v>0</v>
      </c>
      <c r="D12" s="8">
        <v>0</v>
      </c>
      <c r="E12" s="8">
        <v>0</v>
      </c>
      <c r="F12" s="24">
        <f>F32/$C$89/12</f>
        <v>8.333333333333334</v>
      </c>
      <c r="G12" s="23">
        <f>G32/$C$89/12</f>
        <v>8.333333333333334</v>
      </c>
      <c r="H12" s="23">
        <f>H32/$C$89/12</f>
        <v>8.333333333333334</v>
      </c>
      <c r="I12" s="23">
        <f aca="true" t="shared" si="7" ref="I12:O12">I32/$C$89/12</f>
        <v>8.333333333333334</v>
      </c>
      <c r="J12" s="23">
        <f t="shared" si="7"/>
        <v>8.333333333333334</v>
      </c>
      <c r="K12" s="23">
        <f t="shared" si="7"/>
        <v>8.333333333333334</v>
      </c>
      <c r="L12" s="23">
        <f t="shared" si="7"/>
        <v>8.333333333333334</v>
      </c>
      <c r="M12" s="23">
        <f t="shared" si="7"/>
        <v>8.333333333333334</v>
      </c>
      <c r="N12" s="23">
        <f t="shared" si="7"/>
        <v>8.333333333333334</v>
      </c>
      <c r="O12" s="23">
        <f t="shared" si="7"/>
        <v>8.333333333333334</v>
      </c>
    </row>
    <row r="13" spans="1:15" ht="14.25">
      <c r="A13" s="1" t="s">
        <v>40</v>
      </c>
      <c r="B13" s="1"/>
      <c r="C13" s="20">
        <f aca="true" t="shared" si="8" ref="C13:I13">SUM(C11:C12)</f>
        <v>0</v>
      </c>
      <c r="D13" s="20">
        <f t="shared" si="8"/>
        <v>75</v>
      </c>
      <c r="E13" s="20">
        <f t="shared" si="8"/>
        <v>0</v>
      </c>
      <c r="F13" s="20">
        <f t="shared" si="8"/>
        <v>8.333333333333334</v>
      </c>
      <c r="G13" s="20">
        <f t="shared" si="8"/>
        <v>83.33333333333333</v>
      </c>
      <c r="H13" s="20">
        <f t="shared" si="8"/>
        <v>90.83333333333333</v>
      </c>
      <c r="I13" s="20">
        <f t="shared" si="8"/>
        <v>99.08333333333333</v>
      </c>
      <c r="J13" s="20">
        <f aca="true" t="shared" si="9" ref="J13:O13">SUM(J11:J12)</f>
        <v>108.15833333333333</v>
      </c>
      <c r="K13" s="20">
        <f t="shared" si="9"/>
        <v>118.14083333333333</v>
      </c>
      <c r="L13" s="20">
        <f t="shared" si="9"/>
        <v>129.12158333333335</v>
      </c>
      <c r="M13" s="20">
        <f t="shared" si="9"/>
        <v>141.20040833333337</v>
      </c>
      <c r="N13" s="20">
        <f t="shared" si="9"/>
        <v>154.48711583333338</v>
      </c>
      <c r="O13" s="20">
        <f t="shared" si="9"/>
        <v>169.1024940833334</v>
      </c>
    </row>
    <row r="14" spans="1:15" ht="14.25">
      <c r="A14" s="1"/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">
      <c r="A15" s="5" t="s">
        <v>2</v>
      </c>
      <c r="B15" s="5"/>
      <c r="C15" s="27">
        <f aca="true" t="shared" si="10" ref="C15:H15">C9-C13</f>
        <v>0</v>
      </c>
      <c r="D15" s="27">
        <f t="shared" si="10"/>
        <v>50</v>
      </c>
      <c r="E15" s="27">
        <f t="shared" si="10"/>
        <v>0</v>
      </c>
      <c r="F15" s="27">
        <f t="shared" si="10"/>
        <v>-8.333333333333334</v>
      </c>
      <c r="G15" s="27">
        <f t="shared" si="10"/>
        <v>41.66666666666667</v>
      </c>
      <c r="H15" s="27">
        <f t="shared" si="10"/>
        <v>46.66666666666667</v>
      </c>
      <c r="I15" s="27">
        <f aca="true" t="shared" si="11" ref="I15:O15">I9-I13</f>
        <v>52.16666666666667</v>
      </c>
      <c r="J15" s="27">
        <f t="shared" si="11"/>
        <v>58.21666666666667</v>
      </c>
      <c r="K15" s="27">
        <f t="shared" si="11"/>
        <v>64.87166666666671</v>
      </c>
      <c r="L15" s="27">
        <f t="shared" si="11"/>
        <v>72.19216666666668</v>
      </c>
      <c r="M15" s="27">
        <f t="shared" si="11"/>
        <v>80.2447166666667</v>
      </c>
      <c r="N15" s="27">
        <f t="shared" si="11"/>
        <v>89.10252166666672</v>
      </c>
      <c r="O15" s="27">
        <f t="shared" si="11"/>
        <v>98.84610716666674</v>
      </c>
    </row>
    <row r="16" spans="1:15" ht="14.25">
      <c r="A16" s="1"/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s="1" t="s">
        <v>69</v>
      </c>
      <c r="B17" s="1"/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6">
        <f>-$C$97/12*AVERAGE(H42:I42)</f>
        <v>-32.5</v>
      </c>
      <c r="J17" s="6">
        <f aca="true" t="shared" si="12" ref="J17:O17">-$C$97/12*AVERAGE(I42:J42)</f>
        <v>-31.944444444444454</v>
      </c>
      <c r="K17" s="6">
        <f t="shared" si="12"/>
        <v>-31.388888888888896</v>
      </c>
      <c r="L17" s="6">
        <f t="shared" si="12"/>
        <v>-30.833333333333346</v>
      </c>
      <c r="M17" s="6">
        <f t="shared" si="12"/>
        <v>-30.27777777777779</v>
      </c>
      <c r="N17" s="6">
        <f t="shared" si="12"/>
        <v>-29.72222222222224</v>
      </c>
      <c r="O17" s="6">
        <f t="shared" si="12"/>
        <v>-29.166666666666682</v>
      </c>
    </row>
    <row r="18" spans="1:15" ht="14.25">
      <c r="A18" s="1" t="s">
        <v>67</v>
      </c>
      <c r="B18" s="1"/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6">
        <f>$C$98/12*AVERAGE(H27:I27)</f>
        <v>6.056454882710338</v>
      </c>
      <c r="J18" s="6">
        <f aca="true" t="shared" si="13" ref="J18:O18">$C$98/12*AVERAGE(I27:J27)</f>
        <v>5.78216288893775</v>
      </c>
      <c r="K18" s="6">
        <f t="shared" si="13"/>
        <v>5.488714988853852</v>
      </c>
      <c r="L18" s="6">
        <f t="shared" si="13"/>
        <v>5.174169973663748</v>
      </c>
      <c r="M18" s="6">
        <f t="shared" si="13"/>
        <v>4.836392499812782</v>
      </c>
      <c r="N18" s="6">
        <f t="shared" si="13"/>
        <v>4.4730336755030535</v>
      </c>
      <c r="O18" s="6">
        <f t="shared" si="13"/>
        <v>4.0815097058615555</v>
      </c>
    </row>
    <row r="19" spans="1:15" ht="14.25">
      <c r="A19" s="1"/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">
      <c r="A20" s="5" t="s">
        <v>68</v>
      </c>
      <c r="B20" s="5"/>
      <c r="C20" s="27">
        <f>C15+C17+C18</f>
        <v>0</v>
      </c>
      <c r="D20" s="27">
        <f aca="true" t="shared" si="14" ref="D20:I20">D15+D17+D18</f>
        <v>50</v>
      </c>
      <c r="E20" s="27">
        <f t="shared" si="14"/>
        <v>0</v>
      </c>
      <c r="F20" s="27">
        <f t="shared" si="14"/>
        <v>-8.333333333333334</v>
      </c>
      <c r="G20" s="27">
        <f t="shared" si="14"/>
        <v>41.66666666666667</v>
      </c>
      <c r="H20" s="27">
        <f t="shared" si="14"/>
        <v>46.66666666666667</v>
      </c>
      <c r="I20" s="27">
        <f t="shared" si="14"/>
        <v>25.72312154937701</v>
      </c>
      <c r="J20" s="27">
        <f aca="true" t="shared" si="15" ref="J20:O20">J15+J17+J18</f>
        <v>32.05438511115997</v>
      </c>
      <c r="K20" s="27">
        <f t="shared" si="15"/>
        <v>38.97149276663166</v>
      </c>
      <c r="L20" s="27">
        <f t="shared" si="15"/>
        <v>46.53300330699709</v>
      </c>
      <c r="M20" s="27">
        <f t="shared" si="15"/>
        <v>54.8033313887017</v>
      </c>
      <c r="N20" s="27">
        <f t="shared" si="15"/>
        <v>63.85333311994753</v>
      </c>
      <c r="O20" s="27">
        <f t="shared" si="15"/>
        <v>73.7609502058616</v>
      </c>
    </row>
    <row r="21" spans="1:15" ht="14.25">
      <c r="A21" s="1" t="s">
        <v>3</v>
      </c>
      <c r="B21" s="1"/>
      <c r="C21" s="6">
        <f>$C$87*C20</f>
        <v>0</v>
      </c>
      <c r="D21" s="6">
        <f aca="true" t="shared" si="16" ref="D21:O21">$C$87*D20</f>
        <v>17.5</v>
      </c>
      <c r="E21" s="6">
        <f t="shared" si="16"/>
        <v>0</v>
      </c>
      <c r="F21" s="6">
        <f t="shared" si="16"/>
        <v>-2.9166666666666665</v>
      </c>
      <c r="G21" s="6">
        <f t="shared" si="16"/>
        <v>14.583333333333334</v>
      </c>
      <c r="H21" s="6">
        <f t="shared" si="16"/>
        <v>16.333333333333336</v>
      </c>
      <c r="I21" s="6">
        <f t="shared" si="16"/>
        <v>9.003092542281953</v>
      </c>
      <c r="J21" s="6">
        <f t="shared" si="16"/>
        <v>11.219034788905988</v>
      </c>
      <c r="K21" s="6">
        <f t="shared" si="16"/>
        <v>13.640022468321082</v>
      </c>
      <c r="L21" s="6">
        <f t="shared" si="16"/>
        <v>16.28655115744898</v>
      </c>
      <c r="M21" s="6">
        <f t="shared" si="16"/>
        <v>19.181165986045595</v>
      </c>
      <c r="N21" s="6">
        <f t="shared" si="16"/>
        <v>22.348666591981633</v>
      </c>
      <c r="O21" s="6">
        <f t="shared" si="16"/>
        <v>25.81633257205156</v>
      </c>
    </row>
    <row r="22" spans="1:15" ht="14.25">
      <c r="A22" s="1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thickBot="1">
      <c r="A23" s="5" t="s">
        <v>4</v>
      </c>
      <c r="B23" s="5"/>
      <c r="C23" s="11">
        <f>C20-C21</f>
        <v>0</v>
      </c>
      <c r="D23" s="11">
        <f aca="true" t="shared" si="17" ref="D23:I23">D20-D21</f>
        <v>32.5</v>
      </c>
      <c r="E23" s="11">
        <f t="shared" si="17"/>
        <v>0</v>
      </c>
      <c r="F23" s="11">
        <f t="shared" si="17"/>
        <v>-5.416666666666668</v>
      </c>
      <c r="G23" s="11">
        <f t="shared" si="17"/>
        <v>27.083333333333336</v>
      </c>
      <c r="H23" s="11">
        <f t="shared" si="17"/>
        <v>30.333333333333336</v>
      </c>
      <c r="I23" s="11">
        <f t="shared" si="17"/>
        <v>16.720029007095057</v>
      </c>
      <c r="J23" s="11">
        <f aca="true" t="shared" si="18" ref="J23:O23">J20-J21</f>
        <v>20.83535032225398</v>
      </c>
      <c r="K23" s="11">
        <f t="shared" si="18"/>
        <v>25.33147029831058</v>
      </c>
      <c r="L23" s="11">
        <f t="shared" si="18"/>
        <v>30.24645214954811</v>
      </c>
      <c r="M23" s="11">
        <f t="shared" si="18"/>
        <v>35.62216540265611</v>
      </c>
      <c r="N23" s="11">
        <f t="shared" si="18"/>
        <v>41.504666527965895</v>
      </c>
      <c r="O23" s="11">
        <f t="shared" si="18"/>
        <v>47.94461763381004</v>
      </c>
    </row>
    <row r="24" spans="1:15" ht="15" thickTop="1">
      <c r="A24" s="12"/>
      <c r="B24" s="12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</row>
    <row r="25" spans="1:7" ht="15">
      <c r="A25" s="16" t="s">
        <v>6</v>
      </c>
      <c r="B25" s="16"/>
      <c r="C25" s="6"/>
      <c r="D25" s="6"/>
      <c r="E25" s="6"/>
      <c r="F25" s="6"/>
      <c r="G25" s="6"/>
    </row>
    <row r="26" spans="3:7" ht="14.25">
      <c r="C26" s="6"/>
      <c r="D26" s="6"/>
      <c r="E26" s="6"/>
      <c r="F26" s="6"/>
      <c r="G26" s="6"/>
    </row>
    <row r="27" spans="1:15" ht="14.25">
      <c r="A27" s="10" t="s">
        <v>26</v>
      </c>
      <c r="B27" s="10"/>
      <c r="C27" s="6">
        <f aca="true" t="shared" si="19" ref="C27:H27">C77</f>
        <v>0</v>
      </c>
      <c r="D27" s="6">
        <f t="shared" si="19"/>
        <v>-92.5</v>
      </c>
      <c r="E27" s="6">
        <f t="shared" si="19"/>
        <v>407.5</v>
      </c>
      <c r="F27" s="6">
        <f t="shared" si="19"/>
        <v>410.4166666666667</v>
      </c>
      <c r="G27" s="6">
        <f t="shared" si="19"/>
        <v>570.8333333333334</v>
      </c>
      <c r="H27" s="6">
        <f t="shared" si="19"/>
        <v>7426.851598173515</v>
      </c>
      <c r="I27" s="6">
        <f aca="true" t="shared" si="20" ref="I27:O27">I77</f>
        <v>7108.640120331295</v>
      </c>
      <c r="J27" s="6">
        <f t="shared" si="20"/>
        <v>6768.550813119303</v>
      </c>
      <c r="K27" s="6">
        <f t="shared" si="20"/>
        <v>6404.3651601299425</v>
      </c>
      <c r="L27" s="6">
        <f t="shared" si="20"/>
        <v>6013.642776663052</v>
      </c>
      <c r="M27" s="6">
        <f t="shared" si="20"/>
        <v>5593.699222887626</v>
      </c>
      <c r="N27" s="6">
        <f t="shared" si="20"/>
        <v>5141.581598319701</v>
      </c>
      <c r="O27" s="6">
        <f t="shared" si="20"/>
        <v>4654.041695748032</v>
      </c>
    </row>
    <row r="28" spans="1:15" ht="14.25">
      <c r="A28" s="10" t="s">
        <v>61</v>
      </c>
      <c r="B28" s="10"/>
      <c r="C28" s="21">
        <v>0</v>
      </c>
      <c r="D28" s="21">
        <v>500</v>
      </c>
      <c r="E28" s="21">
        <v>0</v>
      </c>
      <c r="F28" s="21">
        <v>0</v>
      </c>
      <c r="G28" s="21">
        <v>250</v>
      </c>
      <c r="H28" s="25">
        <f>H7*12/365*$C$92</f>
        <v>361.64383561643837</v>
      </c>
      <c r="I28" s="25">
        <f>I7*12/365*$C$92</f>
        <v>397.8082191780822</v>
      </c>
      <c r="J28" s="25">
        <f aca="true" t="shared" si="21" ref="J28:O28">J7*12/365*$C$92</f>
        <v>437.58904109589037</v>
      </c>
      <c r="K28" s="25">
        <f t="shared" si="21"/>
        <v>481.3479452054795</v>
      </c>
      <c r="L28" s="25">
        <f t="shared" si="21"/>
        <v>529.4827397260275</v>
      </c>
      <c r="M28" s="25">
        <f t="shared" si="21"/>
        <v>582.4310136986303</v>
      </c>
      <c r="N28" s="25">
        <f t="shared" si="21"/>
        <v>640.6741150684933</v>
      </c>
      <c r="O28" s="25">
        <f t="shared" si="21"/>
        <v>704.7415265753426</v>
      </c>
    </row>
    <row r="29" spans="1:15" ht="14.25">
      <c r="A29" s="10" t="s">
        <v>8</v>
      </c>
      <c r="B29" s="10"/>
      <c r="C29" s="21">
        <v>10000</v>
      </c>
      <c r="D29" s="21">
        <f>C29-D8</f>
        <v>9625</v>
      </c>
      <c r="E29" s="21">
        <f>D29</f>
        <v>9625</v>
      </c>
      <c r="F29" s="21">
        <f>E29</f>
        <v>9625</v>
      </c>
      <c r="G29" s="21">
        <f>F29-G8+300</f>
        <v>9550</v>
      </c>
      <c r="H29" s="25">
        <f>H8*12/365*$C$94</f>
        <v>2441.095890410959</v>
      </c>
      <c r="I29" s="25">
        <f>I8*12/365*$C$94</f>
        <v>2685.205479452055</v>
      </c>
      <c r="J29" s="25">
        <f aca="true" t="shared" si="22" ref="J29:O29">J8*12/365*$C$94</f>
        <v>2953.7260273972606</v>
      </c>
      <c r="K29" s="25">
        <f t="shared" si="22"/>
        <v>3249.0986301369862</v>
      </c>
      <c r="L29" s="25">
        <f t="shared" si="22"/>
        <v>3574.0084931506854</v>
      </c>
      <c r="M29" s="25">
        <f t="shared" si="22"/>
        <v>3931.409342465754</v>
      </c>
      <c r="N29" s="25">
        <f t="shared" si="22"/>
        <v>4324.55027671233</v>
      </c>
      <c r="O29" s="25">
        <f t="shared" si="22"/>
        <v>4757.005304383562</v>
      </c>
    </row>
    <row r="30" spans="1:15" ht="14.25">
      <c r="A30" s="1" t="s">
        <v>9</v>
      </c>
      <c r="B30" s="1"/>
      <c r="C30" s="9">
        <f aca="true" t="shared" si="23" ref="C30:I30">SUM(C27:C29)</f>
        <v>10000</v>
      </c>
      <c r="D30" s="9">
        <f t="shared" si="23"/>
        <v>10032.5</v>
      </c>
      <c r="E30" s="9">
        <f t="shared" si="23"/>
        <v>10032.5</v>
      </c>
      <c r="F30" s="9">
        <f t="shared" si="23"/>
        <v>10035.416666666666</v>
      </c>
      <c r="G30" s="9">
        <f t="shared" si="23"/>
        <v>10370.833333333334</v>
      </c>
      <c r="H30" s="9">
        <f t="shared" si="23"/>
        <v>10229.591324200912</v>
      </c>
      <c r="I30" s="9">
        <f t="shared" si="23"/>
        <v>10191.653818961433</v>
      </c>
      <c r="J30" s="9">
        <f aca="true" t="shared" si="24" ref="J30:O30">SUM(J27:J29)</f>
        <v>10159.865881612453</v>
      </c>
      <c r="K30" s="9">
        <f t="shared" si="24"/>
        <v>10134.811735472409</v>
      </c>
      <c r="L30" s="9">
        <f t="shared" si="24"/>
        <v>10117.134009539765</v>
      </c>
      <c r="M30" s="9">
        <f t="shared" si="24"/>
        <v>10107.53957905201</v>
      </c>
      <c r="N30" s="9">
        <f t="shared" si="24"/>
        <v>10106.805990100524</v>
      </c>
      <c r="O30" s="9">
        <f t="shared" si="24"/>
        <v>10115.788526706936</v>
      </c>
    </row>
    <row r="31" spans="1:15" ht="14.25">
      <c r="A31" s="1"/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4.25">
      <c r="A32" s="10" t="s">
        <v>10</v>
      </c>
      <c r="B32" s="10"/>
      <c r="C32" s="6">
        <f aca="true" t="shared" si="25" ref="C32:H32">B32-C66</f>
        <v>500</v>
      </c>
      <c r="D32" s="6">
        <f t="shared" si="25"/>
        <v>500</v>
      </c>
      <c r="E32" s="6">
        <f t="shared" si="25"/>
        <v>500</v>
      </c>
      <c r="F32" s="6">
        <f t="shared" si="25"/>
        <v>500</v>
      </c>
      <c r="G32" s="6">
        <f t="shared" si="25"/>
        <v>500</v>
      </c>
      <c r="H32" s="6">
        <f t="shared" si="25"/>
        <v>500</v>
      </c>
      <c r="I32" s="6">
        <f aca="true" t="shared" si="26" ref="I32:O32">H32-I66</f>
        <v>500</v>
      </c>
      <c r="J32" s="6">
        <f t="shared" si="26"/>
        <v>500</v>
      </c>
      <c r="K32" s="6">
        <f t="shared" si="26"/>
        <v>500</v>
      </c>
      <c r="L32" s="6">
        <f t="shared" si="26"/>
        <v>500</v>
      </c>
      <c r="M32" s="6">
        <f t="shared" si="26"/>
        <v>500</v>
      </c>
      <c r="N32" s="6">
        <f t="shared" si="26"/>
        <v>500</v>
      </c>
      <c r="O32" s="6">
        <f t="shared" si="26"/>
        <v>500</v>
      </c>
    </row>
    <row r="33" spans="1:15" ht="14.25">
      <c r="A33" s="10" t="s">
        <v>11</v>
      </c>
      <c r="B33" s="10"/>
      <c r="C33" s="6">
        <f aca="true" t="shared" si="27" ref="C33:H33">B33+C12</f>
        <v>0</v>
      </c>
      <c r="D33" s="6">
        <f t="shared" si="27"/>
        <v>0</v>
      </c>
      <c r="E33" s="6">
        <f t="shared" si="27"/>
        <v>0</v>
      </c>
      <c r="F33" s="6">
        <f t="shared" si="27"/>
        <v>8.333333333333334</v>
      </c>
      <c r="G33" s="6">
        <f t="shared" si="27"/>
        <v>16.666666666666668</v>
      </c>
      <c r="H33" s="6">
        <f t="shared" si="27"/>
        <v>25</v>
      </c>
      <c r="I33" s="6">
        <f aca="true" t="shared" si="28" ref="I33:O33">H33+I12</f>
        <v>33.333333333333336</v>
      </c>
      <c r="J33" s="6">
        <f t="shared" si="28"/>
        <v>41.66666666666667</v>
      </c>
      <c r="K33" s="6">
        <f t="shared" si="28"/>
        <v>50.00000000000001</v>
      </c>
      <c r="L33" s="6">
        <f t="shared" si="28"/>
        <v>58.33333333333334</v>
      </c>
      <c r="M33" s="6">
        <f t="shared" si="28"/>
        <v>66.66666666666667</v>
      </c>
      <c r="N33" s="6">
        <f t="shared" si="28"/>
        <v>75</v>
      </c>
      <c r="O33" s="6">
        <f t="shared" si="28"/>
        <v>83.33333333333333</v>
      </c>
    </row>
    <row r="34" spans="1:15" ht="14.25">
      <c r="A34" s="1" t="s">
        <v>12</v>
      </c>
      <c r="B34" s="1"/>
      <c r="C34" s="9">
        <f aca="true" t="shared" si="29" ref="C34:I34">C32-C33</f>
        <v>500</v>
      </c>
      <c r="D34" s="9">
        <f t="shared" si="29"/>
        <v>500</v>
      </c>
      <c r="E34" s="9">
        <f t="shared" si="29"/>
        <v>500</v>
      </c>
      <c r="F34" s="9">
        <f t="shared" si="29"/>
        <v>491.6666666666667</v>
      </c>
      <c r="G34" s="9">
        <f t="shared" si="29"/>
        <v>483.3333333333333</v>
      </c>
      <c r="H34" s="9">
        <f t="shared" si="29"/>
        <v>475</v>
      </c>
      <c r="I34" s="9">
        <f t="shared" si="29"/>
        <v>466.6666666666667</v>
      </c>
      <c r="J34" s="9">
        <f aca="true" t="shared" si="30" ref="J34:O34">J32-J33</f>
        <v>458.3333333333333</v>
      </c>
      <c r="K34" s="9">
        <f t="shared" si="30"/>
        <v>450</v>
      </c>
      <c r="L34" s="9">
        <f t="shared" si="30"/>
        <v>441.66666666666663</v>
      </c>
      <c r="M34" s="9">
        <f t="shared" si="30"/>
        <v>433.3333333333333</v>
      </c>
      <c r="N34" s="9">
        <f t="shared" si="30"/>
        <v>425</v>
      </c>
      <c r="O34" s="9">
        <f t="shared" si="30"/>
        <v>416.6666666666667</v>
      </c>
    </row>
    <row r="35" spans="1:15" ht="14.25">
      <c r="A35" s="1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thickBot="1">
      <c r="A36" s="5" t="s">
        <v>13</v>
      </c>
      <c r="B36" s="5"/>
      <c r="C36" s="11">
        <f aca="true" t="shared" si="31" ref="C36:H36">C34+C30</f>
        <v>10500</v>
      </c>
      <c r="D36" s="11">
        <f t="shared" si="31"/>
        <v>10532.5</v>
      </c>
      <c r="E36" s="11">
        <f t="shared" si="31"/>
        <v>10532.5</v>
      </c>
      <c r="F36" s="11">
        <f t="shared" si="31"/>
        <v>10527.083333333332</v>
      </c>
      <c r="G36" s="11">
        <f t="shared" si="31"/>
        <v>10854.166666666668</v>
      </c>
      <c r="H36" s="11">
        <f t="shared" si="31"/>
        <v>10704.591324200912</v>
      </c>
      <c r="I36" s="11">
        <f aca="true" t="shared" si="32" ref="I36:O36">I34+I30</f>
        <v>10658.320485628099</v>
      </c>
      <c r="J36" s="11">
        <f t="shared" si="32"/>
        <v>10618.199214945787</v>
      </c>
      <c r="K36" s="11">
        <f t="shared" si="32"/>
        <v>10584.811735472409</v>
      </c>
      <c r="L36" s="11">
        <f t="shared" si="32"/>
        <v>10558.80067620643</v>
      </c>
      <c r="M36" s="11">
        <f t="shared" si="32"/>
        <v>10540.872912385345</v>
      </c>
      <c r="N36" s="11">
        <f t="shared" si="32"/>
        <v>10531.805990100524</v>
      </c>
      <c r="O36" s="11">
        <f t="shared" si="32"/>
        <v>10532.455193373602</v>
      </c>
    </row>
    <row r="37" spans="1:15" ht="15" thickTop="1">
      <c r="A37" s="1"/>
      <c r="B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4.25">
      <c r="A38" s="10" t="s">
        <v>62</v>
      </c>
      <c r="B38" s="10"/>
      <c r="C38" s="21">
        <v>0</v>
      </c>
      <c r="D38" s="21">
        <v>0</v>
      </c>
      <c r="E38" s="21">
        <v>0</v>
      </c>
      <c r="F38" s="21">
        <v>0</v>
      </c>
      <c r="G38" s="21">
        <v>300</v>
      </c>
      <c r="H38" s="25">
        <f>H8*12/365*$C$93</f>
        <v>203.42465753424656</v>
      </c>
      <c r="I38" s="25">
        <f>I8*12/365*$C$93</f>
        <v>223.76712328767124</v>
      </c>
      <c r="J38" s="25">
        <f aca="true" t="shared" si="33" ref="J38:O38">J8*12/365*$C$93</f>
        <v>246.14383561643837</v>
      </c>
      <c r="K38" s="25">
        <f t="shared" si="33"/>
        <v>270.7582191780822</v>
      </c>
      <c r="L38" s="25">
        <f t="shared" si="33"/>
        <v>297.8340410958905</v>
      </c>
      <c r="M38" s="25">
        <f t="shared" si="33"/>
        <v>327.6174452054795</v>
      </c>
      <c r="N38" s="25">
        <f t="shared" si="33"/>
        <v>360.3791897260275</v>
      </c>
      <c r="O38" s="25">
        <f t="shared" si="33"/>
        <v>396.41710869863016</v>
      </c>
    </row>
    <row r="39" spans="1:15" ht="14.25">
      <c r="A39" s="10" t="s">
        <v>15</v>
      </c>
      <c r="B39" s="10"/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</row>
    <row r="40" spans="1:15" ht="14.25">
      <c r="A40" s="1" t="s">
        <v>16</v>
      </c>
      <c r="B40" s="1"/>
      <c r="C40" s="9">
        <f aca="true" t="shared" si="34" ref="C40:I40">SUM(C38:C39)</f>
        <v>0</v>
      </c>
      <c r="D40" s="9">
        <f t="shared" si="34"/>
        <v>0</v>
      </c>
      <c r="E40" s="9">
        <f t="shared" si="34"/>
        <v>0</v>
      </c>
      <c r="F40" s="9">
        <f t="shared" si="34"/>
        <v>0</v>
      </c>
      <c r="G40" s="9">
        <f t="shared" si="34"/>
        <v>300</v>
      </c>
      <c r="H40" s="9">
        <f t="shared" si="34"/>
        <v>203.42465753424656</v>
      </c>
      <c r="I40" s="9">
        <f t="shared" si="34"/>
        <v>223.76712328767124</v>
      </c>
      <c r="J40" s="9">
        <f aca="true" t="shared" si="35" ref="J40:O40">SUM(J38:J39)</f>
        <v>246.14383561643837</v>
      </c>
      <c r="K40" s="9">
        <f t="shared" si="35"/>
        <v>270.7582191780822</v>
      </c>
      <c r="L40" s="9">
        <f t="shared" si="35"/>
        <v>297.8340410958905</v>
      </c>
      <c r="M40" s="9">
        <f t="shared" si="35"/>
        <v>327.6174452054795</v>
      </c>
      <c r="N40" s="9">
        <f t="shared" si="35"/>
        <v>360.3791897260275</v>
      </c>
      <c r="O40" s="9">
        <f t="shared" si="35"/>
        <v>396.41710869863016</v>
      </c>
    </row>
    <row r="41" spans="1:15" ht="14.25">
      <c r="A41" s="1"/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4.25">
      <c r="A42" s="1" t="s">
        <v>21</v>
      </c>
      <c r="B42" s="1"/>
      <c r="C42" s="6">
        <f aca="true" t="shared" si="36" ref="C42:H42">B42+C70</f>
        <v>5000</v>
      </c>
      <c r="D42" s="6">
        <f t="shared" si="36"/>
        <v>5000</v>
      </c>
      <c r="E42" s="6">
        <f t="shared" si="36"/>
        <v>5000</v>
      </c>
      <c r="F42" s="6">
        <f t="shared" si="36"/>
        <v>5000</v>
      </c>
      <c r="G42" s="6">
        <f t="shared" si="36"/>
        <v>5000</v>
      </c>
      <c r="H42" s="6">
        <f t="shared" si="36"/>
        <v>4916.666666666667</v>
      </c>
      <c r="I42" s="6">
        <f aca="true" t="shared" si="37" ref="I42:O42">H42+I70</f>
        <v>4833.333333333334</v>
      </c>
      <c r="J42" s="6">
        <f t="shared" si="37"/>
        <v>4750.000000000001</v>
      </c>
      <c r="K42" s="6">
        <f t="shared" si="37"/>
        <v>4666.666666666668</v>
      </c>
      <c r="L42" s="6">
        <f t="shared" si="37"/>
        <v>4583.333333333335</v>
      </c>
      <c r="M42" s="6">
        <f t="shared" si="37"/>
        <v>4500.000000000002</v>
      </c>
      <c r="N42" s="6">
        <f t="shared" si="37"/>
        <v>4416.666666666669</v>
      </c>
      <c r="O42" s="6">
        <f t="shared" si="37"/>
        <v>4333.333333333336</v>
      </c>
    </row>
    <row r="43" spans="1:2" ht="14.25">
      <c r="A43" s="1"/>
      <c r="B43" s="1"/>
    </row>
    <row r="44" spans="1:15" ht="14.25">
      <c r="A44" s="1" t="s">
        <v>23</v>
      </c>
      <c r="B44" s="1"/>
      <c r="C44" s="6">
        <f aca="true" t="shared" si="38" ref="C44:H44">C42+C40</f>
        <v>5000</v>
      </c>
      <c r="D44" s="6">
        <f t="shared" si="38"/>
        <v>5000</v>
      </c>
      <c r="E44" s="6">
        <f t="shared" si="38"/>
        <v>5000</v>
      </c>
      <c r="F44" s="6">
        <f t="shared" si="38"/>
        <v>5000</v>
      </c>
      <c r="G44" s="6">
        <f t="shared" si="38"/>
        <v>5300</v>
      </c>
      <c r="H44" s="6">
        <f t="shared" si="38"/>
        <v>5120.091324200914</v>
      </c>
      <c r="I44" s="6">
        <f aca="true" t="shared" si="39" ref="I44:O44">I42+I40</f>
        <v>5057.100456621005</v>
      </c>
      <c r="J44" s="6">
        <f t="shared" si="39"/>
        <v>4996.143835616439</v>
      </c>
      <c r="K44" s="6">
        <f t="shared" si="39"/>
        <v>4937.42488584475</v>
      </c>
      <c r="L44" s="6">
        <f t="shared" si="39"/>
        <v>4881.167374429226</v>
      </c>
      <c r="M44" s="6">
        <f t="shared" si="39"/>
        <v>4827.617445205481</v>
      </c>
      <c r="N44" s="6">
        <f t="shared" si="39"/>
        <v>4777.045856392696</v>
      </c>
      <c r="O44" s="6">
        <f t="shared" si="39"/>
        <v>4729.750442031966</v>
      </c>
    </row>
    <row r="45" spans="1:2" ht="14.25">
      <c r="A45" s="1"/>
      <c r="B45" s="1"/>
    </row>
    <row r="46" spans="1:15" ht="14.25">
      <c r="A46" s="10" t="s">
        <v>42</v>
      </c>
      <c r="B46" s="1"/>
      <c r="C46" s="6">
        <f aca="true" t="shared" si="40" ref="C46:H46">B46+C71</f>
        <v>5500</v>
      </c>
      <c r="D46" s="6">
        <f t="shared" si="40"/>
        <v>5500</v>
      </c>
      <c r="E46" s="6">
        <f t="shared" si="40"/>
        <v>5500</v>
      </c>
      <c r="F46" s="6">
        <f t="shared" si="40"/>
        <v>5500</v>
      </c>
      <c r="G46" s="6">
        <f t="shared" si="40"/>
        <v>5500</v>
      </c>
      <c r="H46" s="6">
        <f t="shared" si="40"/>
        <v>5500</v>
      </c>
      <c r="I46" s="6">
        <f aca="true" t="shared" si="41" ref="I46:O46">H46+I71</f>
        <v>5500</v>
      </c>
      <c r="J46" s="6">
        <f t="shared" si="41"/>
        <v>5500</v>
      </c>
      <c r="K46" s="6">
        <f t="shared" si="41"/>
        <v>5500</v>
      </c>
      <c r="L46" s="6">
        <f t="shared" si="41"/>
        <v>5500</v>
      </c>
      <c r="M46" s="6">
        <f t="shared" si="41"/>
        <v>5500</v>
      </c>
      <c r="N46" s="6">
        <f t="shared" si="41"/>
        <v>5500</v>
      </c>
      <c r="O46" s="6">
        <f t="shared" si="41"/>
        <v>5500</v>
      </c>
    </row>
    <row r="47" spans="1:15" ht="14.25">
      <c r="A47" s="10" t="s">
        <v>43</v>
      </c>
      <c r="B47" s="1"/>
      <c r="C47" s="6">
        <f aca="true" t="shared" si="42" ref="C47:H47">B47+C23</f>
        <v>0</v>
      </c>
      <c r="D47" s="6">
        <f t="shared" si="42"/>
        <v>32.5</v>
      </c>
      <c r="E47" s="6">
        <f t="shared" si="42"/>
        <v>32.5</v>
      </c>
      <c r="F47" s="6">
        <f t="shared" si="42"/>
        <v>27.083333333333332</v>
      </c>
      <c r="G47" s="6">
        <f t="shared" si="42"/>
        <v>54.16666666666667</v>
      </c>
      <c r="H47" s="6">
        <f t="shared" si="42"/>
        <v>84.5</v>
      </c>
      <c r="I47" s="6">
        <f aca="true" t="shared" si="43" ref="I47:O47">H47+I23</f>
        <v>101.22002900709506</v>
      </c>
      <c r="J47" s="6">
        <f t="shared" si="43"/>
        <v>122.05537932934905</v>
      </c>
      <c r="K47" s="6">
        <f t="shared" si="43"/>
        <v>147.38684962765964</v>
      </c>
      <c r="L47" s="6">
        <f t="shared" si="43"/>
        <v>177.63330177720775</v>
      </c>
      <c r="M47" s="6">
        <f t="shared" si="43"/>
        <v>213.25546717986384</v>
      </c>
      <c r="N47" s="6">
        <f t="shared" si="43"/>
        <v>254.76013370782974</v>
      </c>
      <c r="O47" s="6">
        <f t="shared" si="43"/>
        <v>302.7047513416398</v>
      </c>
    </row>
    <row r="48" spans="1:15" ht="14.25">
      <c r="A48" s="1" t="s">
        <v>44</v>
      </c>
      <c r="B48" s="1"/>
      <c r="C48" s="9">
        <f aca="true" t="shared" si="44" ref="C48:I48">SUM(C46:C47)</f>
        <v>5500</v>
      </c>
      <c r="D48" s="9">
        <f t="shared" si="44"/>
        <v>5532.5</v>
      </c>
      <c r="E48" s="9">
        <f t="shared" si="44"/>
        <v>5532.5</v>
      </c>
      <c r="F48" s="9">
        <f t="shared" si="44"/>
        <v>5527.083333333333</v>
      </c>
      <c r="G48" s="9">
        <f t="shared" si="44"/>
        <v>5554.166666666667</v>
      </c>
      <c r="H48" s="9">
        <f t="shared" si="44"/>
        <v>5584.5</v>
      </c>
      <c r="I48" s="9">
        <f t="shared" si="44"/>
        <v>5601.220029007095</v>
      </c>
      <c r="J48" s="9">
        <f aca="true" t="shared" si="45" ref="J48:O48">SUM(J46:J47)</f>
        <v>5622.055379329349</v>
      </c>
      <c r="K48" s="9">
        <f t="shared" si="45"/>
        <v>5647.38684962766</v>
      </c>
      <c r="L48" s="9">
        <f t="shared" si="45"/>
        <v>5677.633301777208</v>
      </c>
      <c r="M48" s="9">
        <f t="shared" si="45"/>
        <v>5713.255467179863</v>
      </c>
      <c r="N48" s="9">
        <f t="shared" si="45"/>
        <v>5754.7601337078295</v>
      </c>
      <c r="O48" s="9">
        <f t="shared" si="45"/>
        <v>5802.70475134164</v>
      </c>
    </row>
    <row r="49" spans="1:2" ht="14.25">
      <c r="A49" s="1"/>
      <c r="B49" s="1"/>
    </row>
    <row r="50" spans="1:15" ht="15.75" thickBot="1">
      <c r="A50" s="5" t="s">
        <v>22</v>
      </c>
      <c r="B50" s="5"/>
      <c r="C50" s="11">
        <f aca="true" t="shared" si="46" ref="C50:H50">C48+C44</f>
        <v>10500</v>
      </c>
      <c r="D50" s="11">
        <f t="shared" si="46"/>
        <v>10532.5</v>
      </c>
      <c r="E50" s="11">
        <f t="shared" si="46"/>
        <v>10532.5</v>
      </c>
      <c r="F50" s="11">
        <f t="shared" si="46"/>
        <v>10527.083333333332</v>
      </c>
      <c r="G50" s="11">
        <f t="shared" si="46"/>
        <v>10854.166666666668</v>
      </c>
      <c r="H50" s="11">
        <f t="shared" si="46"/>
        <v>10704.591324200914</v>
      </c>
      <c r="I50" s="11">
        <f aca="true" t="shared" si="47" ref="I50:O50">I48+I44</f>
        <v>10658.3204856281</v>
      </c>
      <c r="J50" s="11">
        <f t="shared" si="47"/>
        <v>10618.199214945787</v>
      </c>
      <c r="K50" s="11">
        <f t="shared" si="47"/>
        <v>10584.811735472409</v>
      </c>
      <c r="L50" s="11">
        <f t="shared" si="47"/>
        <v>10558.800676206432</v>
      </c>
      <c r="M50" s="11">
        <f t="shared" si="47"/>
        <v>10540.872912385345</v>
      </c>
      <c r="N50" s="11">
        <f t="shared" si="47"/>
        <v>10531.805990100525</v>
      </c>
      <c r="O50" s="11">
        <f t="shared" si="47"/>
        <v>10532.455193373606</v>
      </c>
    </row>
    <row r="51" spans="1:15" ht="15.75" thickTop="1">
      <c r="A51" s="5"/>
      <c r="B51" s="5"/>
      <c r="C51" s="29">
        <f>IF(C50&lt;&gt;C36,"ERR"&amp;C36-C50,"")</f>
      </c>
      <c r="D51" s="29">
        <f aca="true" t="shared" si="48" ref="D51:O51">IF(D50&lt;&gt;D36,"ERR"&amp;D36-D50,"")</f>
      </c>
      <c r="E51" s="29">
        <f t="shared" si="48"/>
      </c>
      <c r="F51" s="29">
        <f t="shared" si="48"/>
      </c>
      <c r="G51" s="29">
        <f t="shared" si="48"/>
      </c>
      <c r="H51" s="29">
        <f t="shared" si="48"/>
      </c>
      <c r="I51" s="29">
        <f t="shared" si="48"/>
      </c>
      <c r="J51" s="29">
        <f t="shared" si="48"/>
      </c>
      <c r="K51" s="29">
        <f t="shared" si="48"/>
      </c>
      <c r="L51" s="29">
        <f t="shared" si="48"/>
      </c>
      <c r="M51" s="29">
        <f t="shared" si="48"/>
      </c>
      <c r="N51" s="29">
        <f t="shared" si="48"/>
      </c>
      <c r="O51" s="29">
        <f t="shared" si="48"/>
      </c>
    </row>
    <row r="52" spans="1:15" ht="14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4" ht="15">
      <c r="A53" s="2" t="s">
        <v>24</v>
      </c>
      <c r="B53" s="2"/>
      <c r="D53" s="6"/>
    </row>
    <row r="55" spans="1:2" ht="14.25">
      <c r="A55" s="1" t="s">
        <v>28</v>
      </c>
      <c r="B55" s="1"/>
    </row>
    <row r="56" spans="1:15" ht="14.25">
      <c r="A56" s="10" t="s">
        <v>4</v>
      </c>
      <c r="B56" s="10"/>
      <c r="C56" s="6">
        <f aca="true" t="shared" si="49" ref="C56:H56">C23</f>
        <v>0</v>
      </c>
      <c r="D56" s="6">
        <f t="shared" si="49"/>
        <v>32.5</v>
      </c>
      <c r="E56" s="6">
        <f t="shared" si="49"/>
        <v>0</v>
      </c>
      <c r="F56" s="6">
        <f t="shared" si="49"/>
        <v>-5.416666666666668</v>
      </c>
      <c r="G56" s="6">
        <f t="shared" si="49"/>
        <v>27.083333333333336</v>
      </c>
      <c r="H56" s="6">
        <f t="shared" si="49"/>
        <v>30.333333333333336</v>
      </c>
      <c r="I56" s="6">
        <f aca="true" t="shared" si="50" ref="I56:O56">I23</f>
        <v>16.720029007095057</v>
      </c>
      <c r="J56" s="6">
        <f t="shared" si="50"/>
        <v>20.83535032225398</v>
      </c>
      <c r="K56" s="6">
        <f t="shared" si="50"/>
        <v>25.33147029831058</v>
      </c>
      <c r="L56" s="6">
        <f t="shared" si="50"/>
        <v>30.24645214954811</v>
      </c>
      <c r="M56" s="6">
        <f t="shared" si="50"/>
        <v>35.62216540265611</v>
      </c>
      <c r="N56" s="6">
        <f t="shared" si="50"/>
        <v>41.504666527965895</v>
      </c>
      <c r="O56" s="6">
        <f t="shared" si="50"/>
        <v>47.94461763381004</v>
      </c>
    </row>
    <row r="57" spans="1:15" ht="14.25">
      <c r="A57" s="10" t="s">
        <v>41</v>
      </c>
      <c r="B57" s="10"/>
      <c r="C57" s="6">
        <f aca="true" t="shared" si="51" ref="C57:H57">C12</f>
        <v>0</v>
      </c>
      <c r="D57" s="6">
        <f t="shared" si="51"/>
        <v>0</v>
      </c>
      <c r="E57" s="6">
        <f t="shared" si="51"/>
        <v>0</v>
      </c>
      <c r="F57" s="6">
        <f t="shared" si="51"/>
        <v>8.333333333333334</v>
      </c>
      <c r="G57" s="6">
        <f t="shared" si="51"/>
        <v>8.333333333333334</v>
      </c>
      <c r="H57" s="6">
        <f t="shared" si="51"/>
        <v>8.333333333333334</v>
      </c>
      <c r="I57" s="6">
        <f aca="true" t="shared" si="52" ref="I57:O57">I12</f>
        <v>8.333333333333334</v>
      </c>
      <c r="J57" s="6">
        <f t="shared" si="52"/>
        <v>8.333333333333334</v>
      </c>
      <c r="K57" s="6">
        <f t="shared" si="52"/>
        <v>8.333333333333334</v>
      </c>
      <c r="L57" s="6">
        <f t="shared" si="52"/>
        <v>8.333333333333334</v>
      </c>
      <c r="M57" s="6">
        <f t="shared" si="52"/>
        <v>8.333333333333334</v>
      </c>
      <c r="N57" s="6">
        <f t="shared" si="52"/>
        <v>8.333333333333334</v>
      </c>
      <c r="O57" s="6">
        <f t="shared" si="52"/>
        <v>8.333333333333334</v>
      </c>
    </row>
    <row r="58" spans="1:2" ht="14.25">
      <c r="A58" s="10" t="s">
        <v>25</v>
      </c>
      <c r="B58" s="10"/>
    </row>
    <row r="59" spans="1:15" ht="14.25">
      <c r="A59" s="14" t="s">
        <v>7</v>
      </c>
      <c r="B59" s="14"/>
      <c r="C59" s="6">
        <f aca="true" t="shared" si="53" ref="C59:H60">B28-C28</f>
        <v>0</v>
      </c>
      <c r="D59" s="6">
        <f t="shared" si="53"/>
        <v>-500</v>
      </c>
      <c r="E59" s="6">
        <f t="shared" si="53"/>
        <v>500</v>
      </c>
      <c r="F59" s="6">
        <f t="shared" si="53"/>
        <v>0</v>
      </c>
      <c r="G59" s="6">
        <f t="shared" si="53"/>
        <v>-250</v>
      </c>
      <c r="H59" s="6">
        <f t="shared" si="53"/>
        <v>-111.64383561643837</v>
      </c>
      <c r="I59" s="6">
        <f aca="true" t="shared" si="54" ref="I59:O59">H28-I28</f>
        <v>-36.16438356164383</v>
      </c>
      <c r="J59" s="6">
        <f t="shared" si="54"/>
        <v>-39.78082191780817</v>
      </c>
      <c r="K59" s="6">
        <f t="shared" si="54"/>
        <v>-43.75890410958914</v>
      </c>
      <c r="L59" s="6">
        <f t="shared" si="54"/>
        <v>-48.134794520547985</v>
      </c>
      <c r="M59" s="6">
        <f t="shared" si="54"/>
        <v>-52.948273972602806</v>
      </c>
      <c r="N59" s="6">
        <f t="shared" si="54"/>
        <v>-58.243101369862984</v>
      </c>
      <c r="O59" s="6">
        <f t="shared" si="54"/>
        <v>-64.06741150684934</v>
      </c>
    </row>
    <row r="60" spans="1:15" ht="14.25">
      <c r="A60" s="14" t="s">
        <v>8</v>
      </c>
      <c r="B60" s="14"/>
      <c r="C60" s="6">
        <f t="shared" si="53"/>
        <v>-10000</v>
      </c>
      <c r="D60" s="6">
        <f t="shared" si="53"/>
        <v>375</v>
      </c>
      <c r="E60" s="6">
        <f t="shared" si="53"/>
        <v>0</v>
      </c>
      <c r="F60" s="6">
        <f t="shared" si="53"/>
        <v>0</v>
      </c>
      <c r="G60" s="6">
        <f t="shared" si="53"/>
        <v>75</v>
      </c>
      <c r="H60" s="6">
        <f t="shared" si="53"/>
        <v>7108.904109589041</v>
      </c>
      <c r="I60" s="6">
        <f aca="true" t="shared" si="55" ref="I60:O60">H29-I29</f>
        <v>-244.10958904109611</v>
      </c>
      <c r="J60" s="6">
        <f t="shared" si="55"/>
        <v>-268.52054794520564</v>
      </c>
      <c r="K60" s="6">
        <f t="shared" si="55"/>
        <v>-295.3726027397256</v>
      </c>
      <c r="L60" s="6">
        <f t="shared" si="55"/>
        <v>-324.9098630136991</v>
      </c>
      <c r="M60" s="6">
        <f t="shared" si="55"/>
        <v>-357.4008493150686</v>
      </c>
      <c r="N60" s="6">
        <f t="shared" si="55"/>
        <v>-393.14093424657585</v>
      </c>
      <c r="O60" s="6">
        <f t="shared" si="55"/>
        <v>-432.45502767123253</v>
      </c>
    </row>
    <row r="61" spans="1:15" ht="14.25">
      <c r="A61" s="14" t="s">
        <v>14</v>
      </c>
      <c r="B61" s="14"/>
      <c r="C61" s="6">
        <f aca="true" t="shared" si="56" ref="C61:H62">C38-B38</f>
        <v>0</v>
      </c>
      <c r="D61" s="6">
        <f t="shared" si="56"/>
        <v>0</v>
      </c>
      <c r="E61" s="6">
        <f t="shared" si="56"/>
        <v>0</v>
      </c>
      <c r="F61" s="6">
        <f t="shared" si="56"/>
        <v>0</v>
      </c>
      <c r="G61" s="6">
        <f t="shared" si="56"/>
        <v>300</v>
      </c>
      <c r="H61" s="6">
        <f t="shared" si="56"/>
        <v>-96.57534246575344</v>
      </c>
      <c r="I61" s="6">
        <f aca="true" t="shared" si="57" ref="I61:O61">I38-H38</f>
        <v>20.342465753424676</v>
      </c>
      <c r="J61" s="6">
        <f t="shared" si="57"/>
        <v>22.376712328767127</v>
      </c>
      <c r="K61" s="6">
        <f t="shared" si="57"/>
        <v>24.61438356164382</v>
      </c>
      <c r="L61" s="6">
        <f t="shared" si="57"/>
        <v>27.075821917808298</v>
      </c>
      <c r="M61" s="6">
        <f t="shared" si="57"/>
        <v>29.783404109589014</v>
      </c>
      <c r="N61" s="6">
        <f t="shared" si="57"/>
        <v>32.76174452054801</v>
      </c>
      <c r="O61" s="6">
        <f t="shared" si="57"/>
        <v>36.037918972602654</v>
      </c>
    </row>
    <row r="62" spans="1:15" ht="14.25">
      <c r="A62" s="14" t="s">
        <v>15</v>
      </c>
      <c r="B62" s="14"/>
      <c r="C62" s="6">
        <f t="shared" si="56"/>
        <v>0</v>
      </c>
      <c r="D62" s="6">
        <f t="shared" si="56"/>
        <v>0</v>
      </c>
      <c r="E62" s="6">
        <f t="shared" si="56"/>
        <v>0</v>
      </c>
      <c r="F62" s="6">
        <f t="shared" si="56"/>
        <v>0</v>
      </c>
      <c r="G62" s="6">
        <f t="shared" si="56"/>
        <v>0</v>
      </c>
      <c r="H62" s="6">
        <f t="shared" si="56"/>
        <v>0</v>
      </c>
      <c r="I62" s="6">
        <f aca="true" t="shared" si="58" ref="I62:O62">I39-H39</f>
        <v>0</v>
      </c>
      <c r="J62" s="6">
        <f t="shared" si="58"/>
        <v>0</v>
      </c>
      <c r="K62" s="6">
        <f t="shared" si="58"/>
        <v>0</v>
      </c>
      <c r="L62" s="6">
        <f t="shared" si="58"/>
        <v>0</v>
      </c>
      <c r="M62" s="6">
        <f t="shared" si="58"/>
        <v>0</v>
      </c>
      <c r="N62" s="6">
        <f t="shared" si="58"/>
        <v>0</v>
      </c>
      <c r="O62" s="6">
        <f t="shared" si="58"/>
        <v>0</v>
      </c>
    </row>
    <row r="63" spans="1:15" ht="14.25">
      <c r="A63" s="10" t="s">
        <v>27</v>
      </c>
      <c r="B63" s="10"/>
      <c r="C63" s="9">
        <f aca="true" t="shared" si="59" ref="C63:I63">SUM(C56:C62)</f>
        <v>-10000</v>
      </c>
      <c r="D63" s="9">
        <f t="shared" si="59"/>
        <v>-92.5</v>
      </c>
      <c r="E63" s="9">
        <f t="shared" si="59"/>
        <v>500</v>
      </c>
      <c r="F63" s="9">
        <f t="shared" si="59"/>
        <v>2.916666666666666</v>
      </c>
      <c r="G63" s="9">
        <f t="shared" si="59"/>
        <v>160.41666666666669</v>
      </c>
      <c r="H63" s="9">
        <f t="shared" si="59"/>
        <v>6939.351598173515</v>
      </c>
      <c r="I63" s="9">
        <f t="shared" si="59"/>
        <v>-234.87814450888686</v>
      </c>
      <c r="J63" s="9">
        <f aca="true" t="shared" si="60" ref="J63:O63">SUM(J56:J62)</f>
        <v>-256.75597387865935</v>
      </c>
      <c r="K63" s="9">
        <f t="shared" si="60"/>
        <v>-280.852319656027</v>
      </c>
      <c r="L63" s="9">
        <f t="shared" si="60"/>
        <v>-307.38905013355736</v>
      </c>
      <c r="M63" s="9">
        <f t="shared" si="60"/>
        <v>-336.61022044209295</v>
      </c>
      <c r="N63" s="9">
        <f t="shared" si="60"/>
        <v>-368.7842912345916</v>
      </c>
      <c r="O63" s="9">
        <f t="shared" si="60"/>
        <v>-404.2065692383358</v>
      </c>
    </row>
    <row r="65" spans="1:2" ht="14.25">
      <c r="A65" s="1" t="s">
        <v>29</v>
      </c>
      <c r="B65" s="1"/>
    </row>
    <row r="66" spans="1:15" ht="14.25">
      <c r="A66" s="10" t="s">
        <v>30</v>
      </c>
      <c r="B66" s="10"/>
      <c r="C66" s="21">
        <v>-500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1:15" ht="14.25">
      <c r="A67" s="1" t="s">
        <v>34</v>
      </c>
      <c r="B67" s="1"/>
      <c r="C67" s="9">
        <f aca="true" t="shared" si="61" ref="C67:I67">SUM(C66:C66)</f>
        <v>-500</v>
      </c>
      <c r="D67" s="9">
        <f t="shared" si="61"/>
        <v>0</v>
      </c>
      <c r="E67" s="9">
        <f t="shared" si="61"/>
        <v>0</v>
      </c>
      <c r="F67" s="9">
        <f t="shared" si="61"/>
        <v>0</v>
      </c>
      <c r="G67" s="9">
        <f t="shared" si="61"/>
        <v>0</v>
      </c>
      <c r="H67" s="9">
        <f t="shared" si="61"/>
        <v>0</v>
      </c>
      <c r="I67" s="9">
        <f t="shared" si="61"/>
        <v>0</v>
      </c>
      <c r="J67" s="9">
        <f aca="true" t="shared" si="62" ref="J67:O67">SUM(J66:J66)</f>
        <v>0</v>
      </c>
      <c r="K67" s="9">
        <f t="shared" si="62"/>
        <v>0</v>
      </c>
      <c r="L67" s="9">
        <f t="shared" si="62"/>
        <v>0</v>
      </c>
      <c r="M67" s="9">
        <f t="shared" si="62"/>
        <v>0</v>
      </c>
      <c r="N67" s="9">
        <f t="shared" si="62"/>
        <v>0</v>
      </c>
      <c r="O67" s="9">
        <f t="shared" si="62"/>
        <v>0</v>
      </c>
    </row>
    <row r="68" spans="3:15" ht="14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4.25">
      <c r="A69" s="1" t="s">
        <v>32</v>
      </c>
      <c r="B69" s="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4.25">
      <c r="A70" s="10" t="s">
        <v>31</v>
      </c>
      <c r="B70" s="10"/>
      <c r="C70" s="21">
        <v>5000</v>
      </c>
      <c r="D70" s="21">
        <v>0</v>
      </c>
      <c r="E70" s="21">
        <v>0</v>
      </c>
      <c r="F70" s="21">
        <v>0</v>
      </c>
      <c r="G70" s="21">
        <v>0</v>
      </c>
      <c r="H70" s="25">
        <f>-$C$70/$C$96/12</f>
        <v>-83.33333333333333</v>
      </c>
      <c r="I70" s="25">
        <f>-$C$70/$C$96/12</f>
        <v>-83.33333333333333</v>
      </c>
      <c r="J70" s="25">
        <f aca="true" t="shared" si="63" ref="J70:O70">-$C$70/$C$96/12</f>
        <v>-83.33333333333333</v>
      </c>
      <c r="K70" s="25">
        <f t="shared" si="63"/>
        <v>-83.33333333333333</v>
      </c>
      <c r="L70" s="25">
        <f t="shared" si="63"/>
        <v>-83.33333333333333</v>
      </c>
      <c r="M70" s="25">
        <f t="shared" si="63"/>
        <v>-83.33333333333333</v>
      </c>
      <c r="N70" s="25">
        <f t="shared" si="63"/>
        <v>-83.33333333333333</v>
      </c>
      <c r="O70" s="25">
        <f t="shared" si="63"/>
        <v>-83.33333333333333</v>
      </c>
    </row>
    <row r="71" spans="1:15" ht="14.25">
      <c r="A71" s="10" t="s">
        <v>33</v>
      </c>
      <c r="B71" s="10"/>
      <c r="C71" s="21">
        <v>5500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1:15" ht="14.25">
      <c r="A72" s="1" t="s">
        <v>35</v>
      </c>
      <c r="B72" s="1"/>
      <c r="C72" s="9">
        <f aca="true" t="shared" si="64" ref="C72:I72">SUM(C70:C71)</f>
        <v>10500</v>
      </c>
      <c r="D72" s="9">
        <f t="shared" si="64"/>
        <v>0</v>
      </c>
      <c r="E72" s="9">
        <f t="shared" si="64"/>
        <v>0</v>
      </c>
      <c r="F72" s="9">
        <f t="shared" si="64"/>
        <v>0</v>
      </c>
      <c r="G72" s="9">
        <f t="shared" si="64"/>
        <v>0</v>
      </c>
      <c r="H72" s="9">
        <f t="shared" si="64"/>
        <v>-83.33333333333333</v>
      </c>
      <c r="I72" s="9">
        <f t="shared" si="64"/>
        <v>-83.33333333333333</v>
      </c>
      <c r="J72" s="9">
        <f aca="true" t="shared" si="65" ref="J72:O72">SUM(J70:J71)</f>
        <v>-83.33333333333333</v>
      </c>
      <c r="K72" s="9">
        <f t="shared" si="65"/>
        <v>-83.33333333333333</v>
      </c>
      <c r="L72" s="9">
        <f t="shared" si="65"/>
        <v>-83.33333333333333</v>
      </c>
      <c r="M72" s="9">
        <f t="shared" si="65"/>
        <v>-83.33333333333333</v>
      </c>
      <c r="N72" s="9">
        <f t="shared" si="65"/>
        <v>-83.33333333333333</v>
      </c>
      <c r="O72" s="9">
        <f t="shared" si="65"/>
        <v>-83.33333333333333</v>
      </c>
    </row>
    <row r="73" spans="1:15" ht="14.25">
      <c r="A73" s="1"/>
      <c r="B73" s="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5">
      <c r="A74" s="5" t="s">
        <v>36</v>
      </c>
      <c r="B74" s="1"/>
      <c r="C74" s="18">
        <f aca="true" t="shared" si="66" ref="C74:H74">C63+C67+C72</f>
        <v>0</v>
      </c>
      <c r="D74" s="18">
        <f t="shared" si="66"/>
        <v>-92.5</v>
      </c>
      <c r="E74" s="18">
        <f t="shared" si="66"/>
        <v>500</v>
      </c>
      <c r="F74" s="18">
        <f t="shared" si="66"/>
        <v>2.916666666666666</v>
      </c>
      <c r="G74" s="18">
        <f t="shared" si="66"/>
        <v>160.41666666666669</v>
      </c>
      <c r="H74" s="18">
        <f t="shared" si="66"/>
        <v>6856.018264840182</v>
      </c>
      <c r="I74" s="18">
        <f aca="true" t="shared" si="67" ref="I74:O74">I63+I67+I72</f>
        <v>-318.2114778422202</v>
      </c>
      <c r="J74" s="18">
        <f t="shared" si="67"/>
        <v>-340.08930721199266</v>
      </c>
      <c r="K74" s="18">
        <f t="shared" si="67"/>
        <v>-364.18565298936034</v>
      </c>
      <c r="L74" s="18">
        <f t="shared" si="67"/>
        <v>-390.7223834668907</v>
      </c>
      <c r="M74" s="18">
        <f t="shared" si="67"/>
        <v>-419.94355377542627</v>
      </c>
      <c r="N74" s="18">
        <f t="shared" si="67"/>
        <v>-452.1176245679249</v>
      </c>
      <c r="O74" s="18">
        <f t="shared" si="67"/>
        <v>-487.53990257166913</v>
      </c>
    </row>
    <row r="75" spans="1:15" ht="14.25">
      <c r="A75" s="1"/>
      <c r="B75" s="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4.25">
      <c r="A76" s="1" t="s">
        <v>37</v>
      </c>
      <c r="B76" s="1"/>
      <c r="C76" s="17">
        <f aca="true" t="shared" si="68" ref="C76:H76">B27</f>
        <v>0</v>
      </c>
      <c r="D76" s="17">
        <f t="shared" si="68"/>
        <v>0</v>
      </c>
      <c r="E76" s="17">
        <f t="shared" si="68"/>
        <v>-92.5</v>
      </c>
      <c r="F76" s="17">
        <f t="shared" si="68"/>
        <v>407.5</v>
      </c>
      <c r="G76" s="17">
        <f t="shared" si="68"/>
        <v>410.4166666666667</v>
      </c>
      <c r="H76" s="17">
        <f t="shared" si="68"/>
        <v>570.8333333333334</v>
      </c>
      <c r="I76" s="17">
        <f aca="true" t="shared" si="69" ref="I76:O76">H27</f>
        <v>7426.851598173515</v>
      </c>
      <c r="J76" s="17">
        <f t="shared" si="69"/>
        <v>7108.640120331295</v>
      </c>
      <c r="K76" s="17">
        <f t="shared" si="69"/>
        <v>6768.550813119303</v>
      </c>
      <c r="L76" s="17">
        <f t="shared" si="69"/>
        <v>6404.3651601299425</v>
      </c>
      <c r="M76" s="17">
        <f t="shared" si="69"/>
        <v>6013.642776663052</v>
      </c>
      <c r="N76" s="17">
        <f t="shared" si="69"/>
        <v>5593.699222887626</v>
      </c>
      <c r="O76" s="17">
        <f t="shared" si="69"/>
        <v>5141.581598319701</v>
      </c>
    </row>
    <row r="77" spans="1:15" ht="14.25">
      <c r="A77" s="1" t="s">
        <v>38</v>
      </c>
      <c r="B77" s="1"/>
      <c r="C77" s="17">
        <f aca="true" t="shared" si="70" ref="C77:I77">C76+C74</f>
        <v>0</v>
      </c>
      <c r="D77" s="17">
        <f t="shared" si="70"/>
        <v>-92.5</v>
      </c>
      <c r="E77" s="17">
        <f t="shared" si="70"/>
        <v>407.5</v>
      </c>
      <c r="F77" s="17">
        <f t="shared" si="70"/>
        <v>410.4166666666667</v>
      </c>
      <c r="G77" s="17">
        <f t="shared" si="70"/>
        <v>570.8333333333334</v>
      </c>
      <c r="H77" s="17">
        <f t="shared" si="70"/>
        <v>7426.851598173515</v>
      </c>
      <c r="I77" s="17">
        <f t="shared" si="70"/>
        <v>7108.640120331295</v>
      </c>
      <c r="J77" s="17">
        <f aca="true" t="shared" si="71" ref="J77:O77">J76+J74</f>
        <v>6768.550813119303</v>
      </c>
      <c r="K77" s="17">
        <f t="shared" si="71"/>
        <v>6404.3651601299425</v>
      </c>
      <c r="L77" s="17">
        <f t="shared" si="71"/>
        <v>6013.642776663052</v>
      </c>
      <c r="M77" s="17">
        <f t="shared" si="71"/>
        <v>5593.699222887626</v>
      </c>
      <c r="N77" s="17">
        <f t="shared" si="71"/>
        <v>5141.581598319701</v>
      </c>
      <c r="O77" s="17">
        <f t="shared" si="71"/>
        <v>4654.041695748032</v>
      </c>
    </row>
    <row r="78" spans="1:15" ht="14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82" ht="14.25">
      <c r="A82" t="s">
        <v>17</v>
      </c>
    </row>
    <row r="83" spans="1:3" ht="14.25">
      <c r="A83" s="1" t="s">
        <v>18</v>
      </c>
      <c r="B83" s="1"/>
      <c r="C83" s="19">
        <v>0.1</v>
      </c>
    </row>
    <row r="84" spans="1:3" ht="14.25">
      <c r="A84" s="1" t="s">
        <v>19</v>
      </c>
      <c r="B84" s="1"/>
      <c r="C84" s="19">
        <v>0.25</v>
      </c>
    </row>
    <row r="86" spans="1:3" ht="14.25">
      <c r="A86" s="1" t="s">
        <v>20</v>
      </c>
      <c r="B86" s="1"/>
      <c r="C86" s="19">
        <v>0.15</v>
      </c>
    </row>
    <row r="87" spans="1:3" ht="14.25">
      <c r="A87" s="1" t="s">
        <v>119</v>
      </c>
      <c r="B87" s="1"/>
      <c r="C87" s="19">
        <v>0.35</v>
      </c>
    </row>
    <row r="89" spans="1:4" ht="14.25">
      <c r="A89" s="1" t="s">
        <v>50</v>
      </c>
      <c r="C89" s="21">
        <v>5</v>
      </c>
      <c r="D89" t="s">
        <v>51</v>
      </c>
    </row>
    <row r="91" ht="14.25">
      <c r="A91" s="1" t="s">
        <v>52</v>
      </c>
    </row>
    <row r="92" spans="1:4" ht="14.25">
      <c r="A92" s="10" t="s">
        <v>53</v>
      </c>
      <c r="C92" s="22">
        <v>20</v>
      </c>
      <c r="D92" t="s">
        <v>55</v>
      </c>
    </row>
    <row r="93" spans="1:4" ht="14.25">
      <c r="A93" s="10" t="s">
        <v>54</v>
      </c>
      <c r="C93" s="22">
        <v>15</v>
      </c>
      <c r="D93" t="s">
        <v>56</v>
      </c>
    </row>
    <row r="94" spans="1:4" ht="14.25">
      <c r="A94" s="10" t="s">
        <v>8</v>
      </c>
      <c r="C94" s="22">
        <v>180</v>
      </c>
      <c r="D94" t="s">
        <v>55</v>
      </c>
    </row>
    <row r="96" spans="1:4" ht="14.25">
      <c r="A96" s="1" t="s">
        <v>58</v>
      </c>
      <c r="C96" s="22">
        <v>5</v>
      </c>
      <c r="D96" t="s">
        <v>51</v>
      </c>
    </row>
    <row r="97" spans="1:3" ht="14.25">
      <c r="A97" s="1" t="s">
        <v>70</v>
      </c>
      <c r="C97" s="19">
        <v>0.08</v>
      </c>
    </row>
    <row r="98" spans="1:3" ht="14.25">
      <c r="A98" s="1" t="s">
        <v>71</v>
      </c>
      <c r="C98" s="19">
        <v>0.01</v>
      </c>
    </row>
  </sheetData>
  <sheetProtection/>
  <printOptions/>
  <pageMargins left="0.7" right="0.7" top="0.75" bottom="0.75" header="0.3" footer="0.3"/>
  <pageSetup horizontalDpi="600" verticalDpi="600" orientation="portrait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view="pageBreakPreview" zoomScale="60" zoomScaleNormal="70" zoomScalePageLayoutView="0" workbookViewId="0" topLeftCell="A1">
      <selection activeCell="A54" sqref="A54"/>
    </sheetView>
  </sheetViews>
  <sheetFormatPr defaultColWidth="9.00390625" defaultRowHeight="14.25"/>
  <cols>
    <col min="1" max="1" width="40.00390625" style="0" customWidth="1"/>
    <col min="2" max="2" width="5.50390625" style="0" customWidth="1"/>
    <col min="3" max="3" width="11.00390625" style="0" customWidth="1"/>
    <col min="6" max="6" width="11.00390625" style="0" customWidth="1"/>
    <col min="9" max="9" width="10.50390625" style="0" customWidth="1"/>
    <col min="10" max="10" width="11.50390625" style="0" customWidth="1"/>
  </cols>
  <sheetData>
    <row r="1" ht="15">
      <c r="A1" s="2" t="s">
        <v>59</v>
      </c>
    </row>
    <row r="2" ht="15">
      <c r="A2" s="2"/>
    </row>
    <row r="3" spans="1:10" ht="14.25">
      <c r="A3" t="s">
        <v>49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</row>
    <row r="4" spans="3:10" ht="57">
      <c r="C4" s="3" t="s">
        <v>60</v>
      </c>
      <c r="D4" s="3" t="s">
        <v>45</v>
      </c>
      <c r="E4" s="3" t="s">
        <v>46</v>
      </c>
      <c r="F4" s="3" t="s">
        <v>47</v>
      </c>
      <c r="G4" s="3" t="s">
        <v>48</v>
      </c>
      <c r="H4" s="3" t="s">
        <v>57</v>
      </c>
      <c r="I4" s="3" t="s">
        <v>66</v>
      </c>
      <c r="J4" s="3" t="s">
        <v>65</v>
      </c>
    </row>
    <row r="5" spans="1:15" ht="14.25">
      <c r="A5" s="12"/>
      <c r="B5" s="12"/>
      <c r="C5" s="1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2" ht="15">
      <c r="A6" s="16" t="s">
        <v>5</v>
      </c>
      <c r="B6" s="16"/>
    </row>
    <row r="7" spans="1:15" ht="14.25">
      <c r="A7" s="1" t="s">
        <v>0</v>
      </c>
      <c r="B7" s="1"/>
      <c r="C7" s="21">
        <v>0</v>
      </c>
      <c r="D7" s="21">
        <v>500</v>
      </c>
      <c r="E7" s="21"/>
      <c r="F7" s="21"/>
      <c r="G7" s="21">
        <v>500</v>
      </c>
      <c r="H7" s="6">
        <f>G7*(1+$C$83)</f>
        <v>550</v>
      </c>
      <c r="I7" s="6">
        <f>H7*(1+$C$83)</f>
        <v>605</v>
      </c>
      <c r="J7" s="6">
        <f aca="true" t="shared" si="0" ref="J7:O7">I7*(1+$C$83)</f>
        <v>665.5</v>
      </c>
      <c r="K7" s="6">
        <f t="shared" si="0"/>
        <v>732.0500000000001</v>
      </c>
      <c r="L7" s="6">
        <f t="shared" si="0"/>
        <v>805.2550000000001</v>
      </c>
      <c r="M7" s="6">
        <f t="shared" si="0"/>
        <v>885.7805000000002</v>
      </c>
      <c r="N7" s="6">
        <f t="shared" si="0"/>
        <v>974.3585500000003</v>
      </c>
      <c r="O7" s="6">
        <f t="shared" si="0"/>
        <v>1071.7944050000003</v>
      </c>
    </row>
    <row r="8" spans="1:15" ht="14.25">
      <c r="A8" s="1" t="s">
        <v>63</v>
      </c>
      <c r="B8" s="1"/>
      <c r="C8" s="6">
        <f aca="true" t="shared" si="1" ref="C8:O8">C7*(1-$C$84)</f>
        <v>0</v>
      </c>
      <c r="D8" s="6">
        <f t="shared" si="1"/>
        <v>375</v>
      </c>
      <c r="E8" s="6">
        <f t="shared" si="1"/>
        <v>0</v>
      </c>
      <c r="F8" s="6">
        <f t="shared" si="1"/>
        <v>0</v>
      </c>
      <c r="G8" s="6">
        <f t="shared" si="1"/>
        <v>375</v>
      </c>
      <c r="H8" s="6">
        <f t="shared" si="1"/>
        <v>412.5</v>
      </c>
      <c r="I8" s="6">
        <f t="shared" si="1"/>
        <v>453.75</v>
      </c>
      <c r="J8" s="6">
        <f t="shared" si="1"/>
        <v>499.125</v>
      </c>
      <c r="K8" s="6">
        <f t="shared" si="1"/>
        <v>549.0375</v>
      </c>
      <c r="L8" s="6">
        <f t="shared" si="1"/>
        <v>603.9412500000001</v>
      </c>
      <c r="M8" s="6">
        <f t="shared" si="1"/>
        <v>664.3353750000001</v>
      </c>
      <c r="N8" s="6">
        <f t="shared" si="1"/>
        <v>730.7689125000002</v>
      </c>
      <c r="O8" s="6">
        <f t="shared" si="1"/>
        <v>803.8458037500002</v>
      </c>
    </row>
    <row r="9" spans="1:15" ht="15">
      <c r="A9" s="5" t="s">
        <v>1</v>
      </c>
      <c r="B9" s="5"/>
      <c r="C9" s="7">
        <f aca="true" t="shared" si="2" ref="C9:O9">C7-C8</f>
        <v>0</v>
      </c>
      <c r="D9" s="7">
        <f t="shared" si="2"/>
        <v>125</v>
      </c>
      <c r="E9" s="7">
        <f t="shared" si="2"/>
        <v>0</v>
      </c>
      <c r="F9" s="7">
        <f t="shared" si="2"/>
        <v>0</v>
      </c>
      <c r="G9" s="7">
        <f t="shared" si="2"/>
        <v>125</v>
      </c>
      <c r="H9" s="7">
        <f t="shared" si="2"/>
        <v>137.5</v>
      </c>
      <c r="I9" s="7">
        <f t="shared" si="2"/>
        <v>151.25</v>
      </c>
      <c r="J9" s="7">
        <f t="shared" si="2"/>
        <v>166.375</v>
      </c>
      <c r="K9" s="7">
        <f t="shared" si="2"/>
        <v>183.01250000000005</v>
      </c>
      <c r="L9" s="7">
        <f t="shared" si="2"/>
        <v>201.31375000000003</v>
      </c>
      <c r="M9" s="7">
        <f t="shared" si="2"/>
        <v>221.44512500000008</v>
      </c>
      <c r="N9" s="7">
        <f t="shared" si="2"/>
        <v>243.5896375000001</v>
      </c>
      <c r="O9" s="7">
        <f t="shared" si="2"/>
        <v>267.94860125000014</v>
      </c>
    </row>
    <row r="10" spans="1:15" ht="14.25">
      <c r="A10" s="1"/>
      <c r="B10" s="1"/>
      <c r="C10" s="6"/>
      <c r="D10" s="6"/>
      <c r="E10" s="6"/>
      <c r="F10" s="6"/>
      <c r="G10" s="28"/>
      <c r="H10" s="6"/>
      <c r="I10" s="28"/>
      <c r="J10" s="28"/>
      <c r="K10" s="28"/>
      <c r="L10" s="28"/>
      <c r="M10" s="6"/>
      <c r="N10" s="6"/>
      <c r="O10" s="6"/>
    </row>
    <row r="11" spans="1:15" ht="14.25">
      <c r="A11" s="10" t="s">
        <v>64</v>
      </c>
      <c r="B11" s="1"/>
      <c r="C11" s="8">
        <f aca="true" t="shared" si="3" ref="C11:O11">C7*$C$86</f>
        <v>0</v>
      </c>
      <c r="D11" s="8">
        <f t="shared" si="3"/>
        <v>75</v>
      </c>
      <c r="E11" s="8">
        <f t="shared" si="3"/>
        <v>0</v>
      </c>
      <c r="F11" s="8">
        <f t="shared" si="3"/>
        <v>0</v>
      </c>
      <c r="G11" s="8">
        <f t="shared" si="3"/>
        <v>75</v>
      </c>
      <c r="H11" s="8">
        <f t="shared" si="3"/>
        <v>82.5</v>
      </c>
      <c r="I11" s="8">
        <f t="shared" si="3"/>
        <v>90.75</v>
      </c>
      <c r="J11" s="8">
        <f t="shared" si="3"/>
        <v>99.825</v>
      </c>
      <c r="K11" s="8">
        <f t="shared" si="3"/>
        <v>109.8075</v>
      </c>
      <c r="L11" s="8">
        <f t="shared" si="3"/>
        <v>120.78825</v>
      </c>
      <c r="M11" s="8">
        <f t="shared" si="3"/>
        <v>132.86707500000003</v>
      </c>
      <c r="N11" s="8">
        <f t="shared" si="3"/>
        <v>146.15378250000003</v>
      </c>
      <c r="O11" s="8">
        <f t="shared" si="3"/>
        <v>160.76916075000005</v>
      </c>
    </row>
    <row r="12" spans="1:15" ht="14.25">
      <c r="A12" s="10" t="s">
        <v>39</v>
      </c>
      <c r="B12" s="1"/>
      <c r="C12" s="8">
        <v>0</v>
      </c>
      <c r="D12" s="8">
        <v>0</v>
      </c>
      <c r="E12" s="8">
        <v>0</v>
      </c>
      <c r="F12" s="24">
        <f>F32/$C$89/12</f>
        <v>8.333333333333334</v>
      </c>
      <c r="G12" s="23">
        <f>G32/$C$89/12</f>
        <v>8.333333333333334</v>
      </c>
      <c r="H12" s="23">
        <f>H32/$C$89/12</f>
        <v>8.333333333333334</v>
      </c>
      <c r="I12" s="23">
        <f aca="true" t="shared" si="4" ref="I12:O12">I32/$C$89/12</f>
        <v>8.333333333333334</v>
      </c>
      <c r="J12" s="23">
        <f t="shared" si="4"/>
        <v>8.333333333333334</v>
      </c>
      <c r="K12" s="23">
        <f t="shared" si="4"/>
        <v>8.333333333333334</v>
      </c>
      <c r="L12" s="23">
        <f t="shared" si="4"/>
        <v>8.333333333333334</v>
      </c>
      <c r="M12" s="23">
        <f t="shared" si="4"/>
        <v>8.333333333333334</v>
      </c>
      <c r="N12" s="23">
        <f t="shared" si="4"/>
        <v>8.333333333333334</v>
      </c>
      <c r="O12" s="23">
        <f t="shared" si="4"/>
        <v>8.333333333333334</v>
      </c>
    </row>
    <row r="13" spans="1:15" ht="14.25">
      <c r="A13" s="1" t="s">
        <v>40</v>
      </c>
      <c r="B13" s="1"/>
      <c r="C13" s="20">
        <f aca="true" t="shared" si="5" ref="C13:O13">SUM(C11:C12)</f>
        <v>0</v>
      </c>
      <c r="D13" s="20">
        <f t="shared" si="5"/>
        <v>75</v>
      </c>
      <c r="E13" s="20">
        <f t="shared" si="5"/>
        <v>0</v>
      </c>
      <c r="F13" s="20">
        <f t="shared" si="5"/>
        <v>8.333333333333334</v>
      </c>
      <c r="G13" s="20">
        <f t="shared" si="5"/>
        <v>83.33333333333333</v>
      </c>
      <c r="H13" s="20">
        <f t="shared" si="5"/>
        <v>90.83333333333333</v>
      </c>
      <c r="I13" s="20">
        <f t="shared" si="5"/>
        <v>99.08333333333333</v>
      </c>
      <c r="J13" s="20">
        <f t="shared" si="5"/>
        <v>108.15833333333333</v>
      </c>
      <c r="K13" s="20">
        <f t="shared" si="5"/>
        <v>118.14083333333333</v>
      </c>
      <c r="L13" s="20">
        <f t="shared" si="5"/>
        <v>129.12158333333335</v>
      </c>
      <c r="M13" s="20">
        <f t="shared" si="5"/>
        <v>141.20040833333337</v>
      </c>
      <c r="N13" s="20">
        <f t="shared" si="5"/>
        <v>154.48711583333338</v>
      </c>
      <c r="O13" s="20">
        <f t="shared" si="5"/>
        <v>169.1024940833334</v>
      </c>
    </row>
    <row r="14" spans="1:15" ht="14.25">
      <c r="A14" s="1"/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">
      <c r="A15" s="5" t="s">
        <v>2</v>
      </c>
      <c r="B15" s="5"/>
      <c r="C15" s="27">
        <f aca="true" t="shared" si="6" ref="C15:O15">C9-C13</f>
        <v>0</v>
      </c>
      <c r="D15" s="27">
        <f t="shared" si="6"/>
        <v>50</v>
      </c>
      <c r="E15" s="27">
        <f t="shared" si="6"/>
        <v>0</v>
      </c>
      <c r="F15" s="27">
        <f t="shared" si="6"/>
        <v>-8.333333333333334</v>
      </c>
      <c r="G15" s="27">
        <f t="shared" si="6"/>
        <v>41.66666666666667</v>
      </c>
      <c r="H15" s="27">
        <f t="shared" si="6"/>
        <v>46.66666666666667</v>
      </c>
      <c r="I15" s="27">
        <f t="shared" si="6"/>
        <v>52.16666666666667</v>
      </c>
      <c r="J15" s="27">
        <f t="shared" si="6"/>
        <v>58.21666666666667</v>
      </c>
      <c r="K15" s="27">
        <f t="shared" si="6"/>
        <v>64.87166666666671</v>
      </c>
      <c r="L15" s="27">
        <f t="shared" si="6"/>
        <v>72.19216666666668</v>
      </c>
      <c r="M15" s="27">
        <f t="shared" si="6"/>
        <v>80.2447166666667</v>
      </c>
      <c r="N15" s="27">
        <f t="shared" si="6"/>
        <v>89.10252166666672</v>
      </c>
      <c r="O15" s="27">
        <f t="shared" si="6"/>
        <v>98.84610716666674</v>
      </c>
    </row>
    <row r="16" spans="1:15" ht="14.25">
      <c r="A16" s="1"/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4.25">
      <c r="A17" s="1" t="s">
        <v>69</v>
      </c>
      <c r="B17" s="1"/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6">
        <f>-$C$97/12*AVERAGE(H42:I42)</f>
        <v>-19.642857142857146</v>
      </c>
      <c r="J17" s="6">
        <f aca="true" t="shared" si="7" ref="J17:O17">-$C$97/12*AVERAGE(I42:J42)</f>
        <v>-19.404761904761905</v>
      </c>
      <c r="K17" s="6">
        <f t="shared" si="7"/>
        <v>-19.166666666666668</v>
      </c>
      <c r="L17" s="6">
        <f t="shared" si="7"/>
        <v>-18.928571428571427</v>
      </c>
      <c r="M17" s="6">
        <f t="shared" si="7"/>
        <v>-18.69047619047619</v>
      </c>
      <c r="N17" s="6">
        <f t="shared" si="7"/>
        <v>-18.45238095238095</v>
      </c>
      <c r="O17" s="6">
        <f t="shared" si="7"/>
        <v>-18.214285714285715</v>
      </c>
    </row>
    <row r="18" spans="1:15" ht="14.25">
      <c r="A18" s="1" t="s">
        <v>67</v>
      </c>
      <c r="B18" s="1"/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6">
        <f>$C$98/12*AVERAGE(H27:I27)</f>
        <v>8.374711984060806</v>
      </c>
      <c r="J18" s="6">
        <f aca="true" t="shared" si="8" ref="J18:O18">$C$98/12*AVERAGE(I27:J27)</f>
        <v>8.373772921298235</v>
      </c>
      <c r="K18" s="6">
        <f t="shared" si="8"/>
        <v>8.37620639505334</v>
      </c>
      <c r="L18" s="6">
        <f t="shared" si="8"/>
        <v>8.382338636823834</v>
      </c>
      <c r="M18" s="6">
        <f t="shared" si="8"/>
        <v>8.392528495285264</v>
      </c>
      <c r="N18" s="6">
        <f t="shared" si="8"/>
        <v>8.40717069800553</v>
      </c>
      <c r="O18" s="6">
        <f t="shared" si="8"/>
        <v>8.426699439330905</v>
      </c>
    </row>
    <row r="19" spans="1:15" ht="14.25">
      <c r="A19" s="1"/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5">
      <c r="A20" s="5" t="s">
        <v>68</v>
      </c>
      <c r="B20" s="5"/>
      <c r="C20" s="27">
        <f>C15+C17+C18</f>
        <v>0</v>
      </c>
      <c r="D20" s="27">
        <f aca="true" t="shared" si="9" ref="D20:O20">D15+D17+D18</f>
        <v>50</v>
      </c>
      <c r="E20" s="27">
        <f t="shared" si="9"/>
        <v>0</v>
      </c>
      <c r="F20" s="27">
        <f t="shared" si="9"/>
        <v>-8.333333333333334</v>
      </c>
      <c r="G20" s="27">
        <f t="shared" si="9"/>
        <v>41.66666666666667</v>
      </c>
      <c r="H20" s="27">
        <f t="shared" si="9"/>
        <v>46.66666666666667</v>
      </c>
      <c r="I20" s="27">
        <f t="shared" si="9"/>
        <v>40.89852150787033</v>
      </c>
      <c r="J20" s="27">
        <f t="shared" si="9"/>
        <v>47.185677683203</v>
      </c>
      <c r="K20" s="27">
        <f t="shared" si="9"/>
        <v>54.08120639505338</v>
      </c>
      <c r="L20" s="27">
        <f t="shared" si="9"/>
        <v>61.64593387491908</v>
      </c>
      <c r="M20" s="27">
        <f t="shared" si="9"/>
        <v>69.94676897147578</v>
      </c>
      <c r="N20" s="27">
        <f t="shared" si="9"/>
        <v>79.0573114122913</v>
      </c>
      <c r="O20" s="27">
        <f t="shared" si="9"/>
        <v>89.05852089171192</v>
      </c>
    </row>
    <row r="21" spans="1:15" ht="14.25">
      <c r="A21" s="1" t="s">
        <v>3</v>
      </c>
      <c r="B21" s="1"/>
      <c r="C21" s="6">
        <f>$C$87*C20</f>
        <v>0</v>
      </c>
      <c r="D21" s="6">
        <f aca="true" t="shared" si="10" ref="D21:O21">$C$87*D20</f>
        <v>17.5</v>
      </c>
      <c r="E21" s="6">
        <f t="shared" si="10"/>
        <v>0</v>
      </c>
      <c r="F21" s="6">
        <f t="shared" si="10"/>
        <v>-2.9166666666666665</v>
      </c>
      <c r="G21" s="6">
        <f t="shared" si="10"/>
        <v>14.583333333333334</v>
      </c>
      <c r="H21" s="6">
        <f t="shared" si="10"/>
        <v>16.333333333333336</v>
      </c>
      <c r="I21" s="6">
        <f t="shared" si="10"/>
        <v>14.314482527754613</v>
      </c>
      <c r="J21" s="6">
        <f t="shared" si="10"/>
        <v>16.514987189121047</v>
      </c>
      <c r="K21" s="6">
        <f t="shared" si="10"/>
        <v>18.92842223826868</v>
      </c>
      <c r="L21" s="6">
        <f t="shared" si="10"/>
        <v>21.576076856221675</v>
      </c>
      <c r="M21" s="6">
        <f t="shared" si="10"/>
        <v>24.481369140016522</v>
      </c>
      <c r="N21" s="6">
        <f t="shared" si="10"/>
        <v>27.670058994301954</v>
      </c>
      <c r="O21" s="6">
        <f t="shared" si="10"/>
        <v>31.17048231209917</v>
      </c>
    </row>
    <row r="22" spans="1:15" ht="14.25">
      <c r="A22" s="1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thickBot="1">
      <c r="A23" s="5" t="s">
        <v>4</v>
      </c>
      <c r="B23" s="5"/>
      <c r="C23" s="11">
        <f>C20-C21</f>
        <v>0</v>
      </c>
      <c r="D23" s="11">
        <f aca="true" t="shared" si="11" ref="D23:O23">D20-D21</f>
        <v>32.5</v>
      </c>
      <c r="E23" s="11">
        <f t="shared" si="11"/>
        <v>0</v>
      </c>
      <c r="F23" s="11">
        <f t="shared" si="11"/>
        <v>-5.416666666666668</v>
      </c>
      <c r="G23" s="11">
        <f t="shared" si="11"/>
        <v>27.083333333333336</v>
      </c>
      <c r="H23" s="11">
        <f t="shared" si="11"/>
        <v>30.333333333333336</v>
      </c>
      <c r="I23" s="11">
        <f t="shared" si="11"/>
        <v>26.584038980115714</v>
      </c>
      <c r="J23" s="11">
        <f t="shared" si="11"/>
        <v>30.67069049408195</v>
      </c>
      <c r="K23" s="11">
        <f t="shared" si="11"/>
        <v>35.1527841567847</v>
      </c>
      <c r="L23" s="11">
        <f t="shared" si="11"/>
        <v>40.069857018697405</v>
      </c>
      <c r="M23" s="11">
        <f t="shared" si="11"/>
        <v>45.46539983145925</v>
      </c>
      <c r="N23" s="11">
        <f t="shared" si="11"/>
        <v>51.387252417989345</v>
      </c>
      <c r="O23" s="11">
        <f t="shared" si="11"/>
        <v>57.888038579612754</v>
      </c>
    </row>
    <row r="24" spans="1:15" ht="15" thickTop="1">
      <c r="A24" s="12"/>
      <c r="B24" s="12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</row>
    <row r="25" spans="1:7" ht="15">
      <c r="A25" s="16" t="s">
        <v>6</v>
      </c>
      <c r="B25" s="16"/>
      <c r="C25" s="6"/>
      <c r="D25" s="6"/>
      <c r="E25" s="6"/>
      <c r="F25" s="6"/>
      <c r="G25" s="6"/>
    </row>
    <row r="26" spans="3:7" ht="14.25">
      <c r="C26" s="6"/>
      <c r="D26" s="6"/>
      <c r="E26" s="6"/>
      <c r="F26" s="6"/>
      <c r="G26" s="6"/>
    </row>
    <row r="27" spans="1:15" ht="14.25">
      <c r="A27" s="10" t="s">
        <v>26</v>
      </c>
      <c r="B27" s="10"/>
      <c r="C27" s="6">
        <f aca="true" t="shared" si="12" ref="C27:O27">C77</f>
        <v>0</v>
      </c>
      <c r="D27" s="6">
        <f t="shared" si="12"/>
        <v>-92.5</v>
      </c>
      <c r="E27" s="6">
        <f t="shared" si="12"/>
        <v>407.5</v>
      </c>
      <c r="F27" s="6">
        <f t="shared" si="12"/>
        <v>410.4166666666667</v>
      </c>
      <c r="G27" s="6">
        <f t="shared" si="12"/>
        <v>570.8333333333334</v>
      </c>
      <c r="H27" s="6">
        <f t="shared" si="12"/>
        <v>10051.182974559686</v>
      </c>
      <c r="I27" s="6">
        <f t="shared" si="12"/>
        <v>10048.125787186247</v>
      </c>
      <c r="J27" s="6">
        <f t="shared" si="12"/>
        <v>10048.929223929514</v>
      </c>
      <c r="K27" s="6">
        <f t="shared" si="12"/>
        <v>10053.966124198496</v>
      </c>
      <c r="L27" s="6">
        <f t="shared" si="12"/>
        <v>10063.646604178706</v>
      </c>
      <c r="M27" s="6">
        <f t="shared" si="12"/>
        <v>10078.421784505925</v>
      </c>
      <c r="N27" s="6">
        <f t="shared" si="12"/>
        <v>10098.787890707345</v>
      </c>
      <c r="O27" s="6">
        <f t="shared" si="12"/>
        <v>10125.290763686828</v>
      </c>
    </row>
    <row r="28" spans="1:15" ht="14.25">
      <c r="A28" s="10" t="s">
        <v>61</v>
      </c>
      <c r="B28" s="10"/>
      <c r="C28" s="21">
        <v>0</v>
      </c>
      <c r="D28" s="21">
        <v>500</v>
      </c>
      <c r="E28" s="21">
        <v>0</v>
      </c>
      <c r="F28" s="21">
        <v>0</v>
      </c>
      <c r="G28" s="21">
        <v>250</v>
      </c>
      <c r="H28" s="25">
        <f>H7*12/365*$C$92</f>
        <v>90.41095890410959</v>
      </c>
      <c r="I28" s="25">
        <f>I7*12/365*$C$92</f>
        <v>99.45205479452055</v>
      </c>
      <c r="J28" s="25">
        <f aca="true" t="shared" si="13" ref="J28:O28">J7*12/365*$C$92</f>
        <v>109.39726027397259</v>
      </c>
      <c r="K28" s="25">
        <f t="shared" si="13"/>
        <v>120.33698630136988</v>
      </c>
      <c r="L28" s="25">
        <f t="shared" si="13"/>
        <v>132.37068493150687</v>
      </c>
      <c r="M28" s="25">
        <f t="shared" si="13"/>
        <v>145.60775342465757</v>
      </c>
      <c r="N28" s="25">
        <f t="shared" si="13"/>
        <v>160.16852876712332</v>
      </c>
      <c r="O28" s="25">
        <f t="shared" si="13"/>
        <v>176.18538164383565</v>
      </c>
    </row>
    <row r="29" spans="1:15" ht="14.25">
      <c r="A29" s="10" t="s">
        <v>8</v>
      </c>
      <c r="B29" s="10"/>
      <c r="C29" s="21">
        <v>10000</v>
      </c>
      <c r="D29" s="21">
        <f>C29-D8</f>
        <v>9625</v>
      </c>
      <c r="E29" s="21">
        <f>D29</f>
        <v>9625</v>
      </c>
      <c r="F29" s="21">
        <f>E29</f>
        <v>9625</v>
      </c>
      <c r="G29" s="21">
        <f>F29-G8+300</f>
        <v>9550</v>
      </c>
      <c r="H29" s="25">
        <f>H8*12/365*$C$94</f>
        <v>406.8493150684931</v>
      </c>
      <c r="I29" s="25">
        <f>I8*12/365*$C$94</f>
        <v>447.5342465753425</v>
      </c>
      <c r="J29" s="25">
        <f aca="true" t="shared" si="14" ref="J29:O29">J8*12/365*$C$94</f>
        <v>492.28767123287673</v>
      </c>
      <c r="K29" s="25">
        <f t="shared" si="14"/>
        <v>541.5164383561644</v>
      </c>
      <c r="L29" s="25">
        <f t="shared" si="14"/>
        <v>595.668082191781</v>
      </c>
      <c r="M29" s="25">
        <f t="shared" si="14"/>
        <v>655.234890410959</v>
      </c>
      <c r="N29" s="25">
        <f t="shared" si="14"/>
        <v>720.758379452055</v>
      </c>
      <c r="O29" s="25">
        <f t="shared" si="14"/>
        <v>792.8342173972603</v>
      </c>
    </row>
    <row r="30" spans="1:15" ht="14.25">
      <c r="A30" s="1" t="s">
        <v>9</v>
      </c>
      <c r="B30" s="1"/>
      <c r="C30" s="9">
        <f aca="true" t="shared" si="15" ref="C30:O30">SUM(C27:C29)</f>
        <v>10000</v>
      </c>
      <c r="D30" s="9">
        <f t="shared" si="15"/>
        <v>10032.5</v>
      </c>
      <c r="E30" s="9">
        <f t="shared" si="15"/>
        <v>10032.5</v>
      </c>
      <c r="F30" s="9">
        <f t="shared" si="15"/>
        <v>10035.416666666666</v>
      </c>
      <c r="G30" s="9">
        <f t="shared" si="15"/>
        <v>10370.833333333334</v>
      </c>
      <c r="H30" s="9">
        <f t="shared" si="15"/>
        <v>10548.443248532289</v>
      </c>
      <c r="I30" s="9">
        <f t="shared" si="15"/>
        <v>10595.11208855611</v>
      </c>
      <c r="J30" s="9">
        <f t="shared" si="15"/>
        <v>10650.614155436362</v>
      </c>
      <c r="K30" s="9">
        <f t="shared" si="15"/>
        <v>10715.81954885603</v>
      </c>
      <c r="L30" s="9">
        <f t="shared" si="15"/>
        <v>10791.685371301995</v>
      </c>
      <c r="M30" s="9">
        <f t="shared" si="15"/>
        <v>10879.264428341541</v>
      </c>
      <c r="N30" s="9">
        <f t="shared" si="15"/>
        <v>10979.714798926521</v>
      </c>
      <c r="O30" s="9">
        <f t="shared" si="15"/>
        <v>11094.310362727923</v>
      </c>
    </row>
    <row r="31" spans="1:15" ht="14.25">
      <c r="A31" s="1"/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4.25">
      <c r="A32" s="10" t="s">
        <v>10</v>
      </c>
      <c r="B32" s="10"/>
      <c r="C32" s="6">
        <f aca="true" t="shared" si="16" ref="C32:O32">B32-C66</f>
        <v>500</v>
      </c>
      <c r="D32" s="6">
        <f t="shared" si="16"/>
        <v>500</v>
      </c>
      <c r="E32" s="6">
        <f t="shared" si="16"/>
        <v>500</v>
      </c>
      <c r="F32" s="6">
        <f t="shared" si="16"/>
        <v>500</v>
      </c>
      <c r="G32" s="6">
        <f t="shared" si="16"/>
        <v>500</v>
      </c>
      <c r="H32" s="6">
        <f t="shared" si="16"/>
        <v>500</v>
      </c>
      <c r="I32" s="6">
        <f t="shared" si="16"/>
        <v>500</v>
      </c>
      <c r="J32" s="6">
        <f t="shared" si="16"/>
        <v>500</v>
      </c>
      <c r="K32" s="6">
        <f t="shared" si="16"/>
        <v>500</v>
      </c>
      <c r="L32" s="6">
        <f t="shared" si="16"/>
        <v>500</v>
      </c>
      <c r="M32" s="6">
        <f t="shared" si="16"/>
        <v>500</v>
      </c>
      <c r="N32" s="6">
        <f t="shared" si="16"/>
        <v>500</v>
      </c>
      <c r="O32" s="6">
        <f t="shared" si="16"/>
        <v>500</v>
      </c>
    </row>
    <row r="33" spans="1:15" ht="14.25">
      <c r="A33" s="10" t="s">
        <v>11</v>
      </c>
      <c r="B33" s="10"/>
      <c r="C33" s="6">
        <f aca="true" t="shared" si="17" ref="C33:O33">B33+C12</f>
        <v>0</v>
      </c>
      <c r="D33" s="6">
        <f t="shared" si="17"/>
        <v>0</v>
      </c>
      <c r="E33" s="6">
        <f t="shared" si="17"/>
        <v>0</v>
      </c>
      <c r="F33" s="6">
        <f t="shared" si="17"/>
        <v>8.333333333333334</v>
      </c>
      <c r="G33" s="6">
        <f t="shared" si="17"/>
        <v>16.666666666666668</v>
      </c>
      <c r="H33" s="6">
        <f t="shared" si="17"/>
        <v>25</v>
      </c>
      <c r="I33" s="6">
        <f t="shared" si="17"/>
        <v>33.333333333333336</v>
      </c>
      <c r="J33" s="6">
        <f t="shared" si="17"/>
        <v>41.66666666666667</v>
      </c>
      <c r="K33" s="6">
        <f t="shared" si="17"/>
        <v>50.00000000000001</v>
      </c>
      <c r="L33" s="6">
        <f t="shared" si="17"/>
        <v>58.33333333333334</v>
      </c>
      <c r="M33" s="6">
        <f t="shared" si="17"/>
        <v>66.66666666666667</v>
      </c>
      <c r="N33" s="6">
        <f t="shared" si="17"/>
        <v>75</v>
      </c>
      <c r="O33" s="6">
        <f t="shared" si="17"/>
        <v>83.33333333333333</v>
      </c>
    </row>
    <row r="34" spans="1:15" ht="14.25">
      <c r="A34" s="1" t="s">
        <v>12</v>
      </c>
      <c r="B34" s="1"/>
      <c r="C34" s="9">
        <f aca="true" t="shared" si="18" ref="C34:O34">C32-C33</f>
        <v>500</v>
      </c>
      <c r="D34" s="9">
        <f t="shared" si="18"/>
        <v>500</v>
      </c>
      <c r="E34" s="9">
        <f t="shared" si="18"/>
        <v>500</v>
      </c>
      <c r="F34" s="9">
        <f t="shared" si="18"/>
        <v>491.6666666666667</v>
      </c>
      <c r="G34" s="9">
        <f t="shared" si="18"/>
        <v>483.3333333333333</v>
      </c>
      <c r="H34" s="9">
        <f t="shared" si="18"/>
        <v>475</v>
      </c>
      <c r="I34" s="9">
        <f t="shared" si="18"/>
        <v>466.6666666666667</v>
      </c>
      <c r="J34" s="9">
        <f t="shared" si="18"/>
        <v>458.3333333333333</v>
      </c>
      <c r="K34" s="9">
        <f t="shared" si="18"/>
        <v>450</v>
      </c>
      <c r="L34" s="9">
        <f t="shared" si="18"/>
        <v>441.66666666666663</v>
      </c>
      <c r="M34" s="9">
        <f t="shared" si="18"/>
        <v>433.3333333333333</v>
      </c>
      <c r="N34" s="9">
        <f t="shared" si="18"/>
        <v>425</v>
      </c>
      <c r="O34" s="9">
        <f t="shared" si="18"/>
        <v>416.6666666666667</v>
      </c>
    </row>
    <row r="35" spans="1:15" ht="14.25">
      <c r="A35" s="1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thickBot="1">
      <c r="A36" s="5" t="s">
        <v>13</v>
      </c>
      <c r="B36" s="5"/>
      <c r="C36" s="11">
        <f aca="true" t="shared" si="19" ref="C36:O36">C34+C30</f>
        <v>10500</v>
      </c>
      <c r="D36" s="11">
        <f t="shared" si="19"/>
        <v>10532.5</v>
      </c>
      <c r="E36" s="11">
        <f t="shared" si="19"/>
        <v>10532.5</v>
      </c>
      <c r="F36" s="11">
        <f t="shared" si="19"/>
        <v>10527.083333333332</v>
      </c>
      <c r="G36" s="11">
        <f t="shared" si="19"/>
        <v>10854.166666666668</v>
      </c>
      <c r="H36" s="11">
        <f t="shared" si="19"/>
        <v>11023.443248532289</v>
      </c>
      <c r="I36" s="11">
        <f t="shared" si="19"/>
        <v>11061.778755222776</v>
      </c>
      <c r="J36" s="11">
        <f t="shared" si="19"/>
        <v>11108.947488769696</v>
      </c>
      <c r="K36" s="11">
        <f t="shared" si="19"/>
        <v>11165.81954885603</v>
      </c>
      <c r="L36" s="11">
        <f t="shared" si="19"/>
        <v>11233.352037968662</v>
      </c>
      <c r="M36" s="11">
        <f t="shared" si="19"/>
        <v>11312.597761674875</v>
      </c>
      <c r="N36" s="11">
        <f t="shared" si="19"/>
        <v>11404.714798926521</v>
      </c>
      <c r="O36" s="11">
        <f t="shared" si="19"/>
        <v>11510.97702939459</v>
      </c>
    </row>
    <row r="37" spans="1:15" ht="15" thickTop="1">
      <c r="A37" s="1"/>
      <c r="B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4.25">
      <c r="A38" s="10" t="s">
        <v>62</v>
      </c>
      <c r="B38" s="10"/>
      <c r="C38" s="21">
        <v>0</v>
      </c>
      <c r="D38" s="21">
        <v>0</v>
      </c>
      <c r="E38" s="21">
        <v>0</v>
      </c>
      <c r="F38" s="21">
        <v>0</v>
      </c>
      <c r="G38" s="21">
        <v>300</v>
      </c>
      <c r="H38" s="25">
        <f>H8*12/365*$C$93</f>
        <v>474.6575342465753</v>
      </c>
      <c r="I38" s="25">
        <f>I8*12/365*$C$93</f>
        <v>522.1232876712329</v>
      </c>
      <c r="J38" s="25">
        <f aca="true" t="shared" si="20" ref="J38:O38">J8*12/365*$C$93</f>
        <v>574.3356164383562</v>
      </c>
      <c r="K38" s="25">
        <f t="shared" si="20"/>
        <v>631.7691780821918</v>
      </c>
      <c r="L38" s="25">
        <f t="shared" si="20"/>
        <v>694.9460958904111</v>
      </c>
      <c r="M38" s="25">
        <f t="shared" si="20"/>
        <v>764.4407054794522</v>
      </c>
      <c r="N38" s="25">
        <f t="shared" si="20"/>
        <v>840.8847760273975</v>
      </c>
      <c r="O38" s="25">
        <f t="shared" si="20"/>
        <v>924.973253630137</v>
      </c>
    </row>
    <row r="39" spans="1:15" ht="14.25">
      <c r="A39" s="10" t="s">
        <v>15</v>
      </c>
      <c r="B39" s="10"/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</row>
    <row r="40" spans="1:15" ht="14.25">
      <c r="A40" s="1" t="s">
        <v>16</v>
      </c>
      <c r="B40" s="1"/>
      <c r="C40" s="9">
        <f aca="true" t="shared" si="21" ref="C40:O40">SUM(C38:C39)</f>
        <v>0</v>
      </c>
      <c r="D40" s="9">
        <f t="shared" si="21"/>
        <v>0</v>
      </c>
      <c r="E40" s="9">
        <f t="shared" si="21"/>
        <v>0</v>
      </c>
      <c r="F40" s="9">
        <f t="shared" si="21"/>
        <v>0</v>
      </c>
      <c r="G40" s="9">
        <f t="shared" si="21"/>
        <v>300</v>
      </c>
      <c r="H40" s="9">
        <f t="shared" si="21"/>
        <v>474.6575342465753</v>
      </c>
      <c r="I40" s="9">
        <f t="shared" si="21"/>
        <v>522.1232876712329</v>
      </c>
      <c r="J40" s="9">
        <f t="shared" si="21"/>
        <v>574.3356164383562</v>
      </c>
      <c r="K40" s="9">
        <f t="shared" si="21"/>
        <v>631.7691780821918</v>
      </c>
      <c r="L40" s="9">
        <f t="shared" si="21"/>
        <v>694.9460958904111</v>
      </c>
      <c r="M40" s="9">
        <f t="shared" si="21"/>
        <v>764.4407054794522</v>
      </c>
      <c r="N40" s="9">
        <f t="shared" si="21"/>
        <v>840.8847760273975</v>
      </c>
      <c r="O40" s="9">
        <f t="shared" si="21"/>
        <v>924.973253630137</v>
      </c>
    </row>
    <row r="41" spans="1:15" ht="14.25">
      <c r="A41" s="1"/>
      <c r="B41" s="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4.25">
      <c r="A42" s="1" t="s">
        <v>21</v>
      </c>
      <c r="B42" s="1"/>
      <c r="C42" s="6">
        <f aca="true" t="shared" si="22" ref="C42:O42">B42+C70</f>
        <v>3000</v>
      </c>
      <c r="D42" s="6">
        <f t="shared" si="22"/>
        <v>3000</v>
      </c>
      <c r="E42" s="6">
        <f t="shared" si="22"/>
        <v>3000</v>
      </c>
      <c r="F42" s="6">
        <f t="shared" si="22"/>
        <v>3000</v>
      </c>
      <c r="G42" s="6">
        <f t="shared" si="22"/>
        <v>3000</v>
      </c>
      <c r="H42" s="6">
        <f t="shared" si="22"/>
        <v>2964.285714285714</v>
      </c>
      <c r="I42" s="6">
        <f t="shared" si="22"/>
        <v>2928.5714285714284</v>
      </c>
      <c r="J42" s="6">
        <f t="shared" si="22"/>
        <v>2892.8571428571427</v>
      </c>
      <c r="K42" s="6">
        <f t="shared" si="22"/>
        <v>2857.142857142857</v>
      </c>
      <c r="L42" s="6">
        <f t="shared" si="22"/>
        <v>2821.428571428571</v>
      </c>
      <c r="M42" s="6">
        <f t="shared" si="22"/>
        <v>2785.7142857142853</v>
      </c>
      <c r="N42" s="6">
        <f t="shared" si="22"/>
        <v>2749.9999999999995</v>
      </c>
      <c r="O42" s="6">
        <f t="shared" si="22"/>
        <v>2714.2857142857138</v>
      </c>
    </row>
    <row r="43" spans="1:2" ht="14.25">
      <c r="A43" s="1"/>
      <c r="B43" s="1"/>
    </row>
    <row r="44" spans="1:15" ht="14.25">
      <c r="A44" s="1" t="s">
        <v>23</v>
      </c>
      <c r="B44" s="1"/>
      <c r="C44" s="6">
        <f aca="true" t="shared" si="23" ref="C44:O44">C42+C40</f>
        <v>3000</v>
      </c>
      <c r="D44" s="6">
        <f t="shared" si="23"/>
        <v>3000</v>
      </c>
      <c r="E44" s="6">
        <f t="shared" si="23"/>
        <v>3000</v>
      </c>
      <c r="F44" s="6">
        <f t="shared" si="23"/>
        <v>3000</v>
      </c>
      <c r="G44" s="6">
        <f t="shared" si="23"/>
        <v>3300</v>
      </c>
      <c r="H44" s="6">
        <f t="shared" si="23"/>
        <v>3438.9432485322895</v>
      </c>
      <c r="I44" s="6">
        <f t="shared" si="23"/>
        <v>3450.6947162426613</v>
      </c>
      <c r="J44" s="6">
        <f t="shared" si="23"/>
        <v>3467.192759295499</v>
      </c>
      <c r="K44" s="6">
        <f t="shared" si="23"/>
        <v>3488.912035225049</v>
      </c>
      <c r="L44" s="6">
        <f t="shared" si="23"/>
        <v>3516.374667318982</v>
      </c>
      <c r="M44" s="6">
        <f t="shared" si="23"/>
        <v>3550.1549911937373</v>
      </c>
      <c r="N44" s="6">
        <f t="shared" si="23"/>
        <v>3590.884776027397</v>
      </c>
      <c r="O44" s="6">
        <f t="shared" si="23"/>
        <v>3639.258967915851</v>
      </c>
    </row>
    <row r="45" spans="1:2" ht="14.25">
      <c r="A45" s="1"/>
      <c r="B45" s="1"/>
    </row>
    <row r="46" spans="1:15" ht="14.25">
      <c r="A46" s="10" t="s">
        <v>42</v>
      </c>
      <c r="B46" s="1"/>
      <c r="C46" s="6">
        <f aca="true" t="shared" si="24" ref="C46:O46">B46+C71</f>
        <v>7500</v>
      </c>
      <c r="D46" s="6">
        <f t="shared" si="24"/>
        <v>7500</v>
      </c>
      <c r="E46" s="6">
        <f t="shared" si="24"/>
        <v>7500</v>
      </c>
      <c r="F46" s="6">
        <f t="shared" si="24"/>
        <v>7500</v>
      </c>
      <c r="G46" s="6">
        <f t="shared" si="24"/>
        <v>7500</v>
      </c>
      <c r="H46" s="6">
        <f t="shared" si="24"/>
        <v>7500</v>
      </c>
      <c r="I46" s="6">
        <f t="shared" si="24"/>
        <v>7500</v>
      </c>
      <c r="J46" s="6">
        <f t="shared" si="24"/>
        <v>7500</v>
      </c>
      <c r="K46" s="6">
        <f t="shared" si="24"/>
        <v>7500</v>
      </c>
      <c r="L46" s="6">
        <f t="shared" si="24"/>
        <v>7500</v>
      </c>
      <c r="M46" s="6">
        <f t="shared" si="24"/>
        <v>7500</v>
      </c>
      <c r="N46" s="6">
        <f t="shared" si="24"/>
        <v>7500</v>
      </c>
      <c r="O46" s="6">
        <f t="shared" si="24"/>
        <v>7500</v>
      </c>
    </row>
    <row r="47" spans="1:15" ht="14.25">
      <c r="A47" s="10" t="s">
        <v>43</v>
      </c>
      <c r="B47" s="1"/>
      <c r="C47" s="6">
        <f aca="true" t="shared" si="25" ref="C47:O47">B47+C23</f>
        <v>0</v>
      </c>
      <c r="D47" s="6">
        <f t="shared" si="25"/>
        <v>32.5</v>
      </c>
      <c r="E47" s="6">
        <f t="shared" si="25"/>
        <v>32.5</v>
      </c>
      <c r="F47" s="6">
        <f t="shared" si="25"/>
        <v>27.083333333333332</v>
      </c>
      <c r="G47" s="6">
        <f t="shared" si="25"/>
        <v>54.16666666666667</v>
      </c>
      <c r="H47" s="6">
        <f t="shared" si="25"/>
        <v>84.5</v>
      </c>
      <c r="I47" s="6">
        <f t="shared" si="25"/>
        <v>111.08403898011571</v>
      </c>
      <c r="J47" s="6">
        <f t="shared" si="25"/>
        <v>141.75472947419766</v>
      </c>
      <c r="K47" s="6">
        <f t="shared" si="25"/>
        <v>176.90751363098235</v>
      </c>
      <c r="L47" s="6">
        <f t="shared" si="25"/>
        <v>216.97737064967976</v>
      </c>
      <c r="M47" s="6">
        <f t="shared" si="25"/>
        <v>262.442770481139</v>
      </c>
      <c r="N47" s="6">
        <f t="shared" si="25"/>
        <v>313.8300228991284</v>
      </c>
      <c r="O47" s="6">
        <f t="shared" si="25"/>
        <v>371.7180614787411</v>
      </c>
    </row>
    <row r="48" spans="1:15" ht="14.25">
      <c r="A48" s="1" t="s">
        <v>44</v>
      </c>
      <c r="B48" s="1"/>
      <c r="C48" s="9">
        <f aca="true" t="shared" si="26" ref="C48:O48">SUM(C46:C47)</f>
        <v>7500</v>
      </c>
      <c r="D48" s="9">
        <f t="shared" si="26"/>
        <v>7532.5</v>
      </c>
      <c r="E48" s="9">
        <f t="shared" si="26"/>
        <v>7532.5</v>
      </c>
      <c r="F48" s="9">
        <f t="shared" si="26"/>
        <v>7527.083333333333</v>
      </c>
      <c r="G48" s="9">
        <f t="shared" si="26"/>
        <v>7554.166666666667</v>
      </c>
      <c r="H48" s="9">
        <f t="shared" si="26"/>
        <v>7584.5</v>
      </c>
      <c r="I48" s="9">
        <f t="shared" si="26"/>
        <v>7611.084038980116</v>
      </c>
      <c r="J48" s="9">
        <f t="shared" si="26"/>
        <v>7641.754729474198</v>
      </c>
      <c r="K48" s="9">
        <f t="shared" si="26"/>
        <v>7676.907513630982</v>
      </c>
      <c r="L48" s="9">
        <f t="shared" si="26"/>
        <v>7716.97737064968</v>
      </c>
      <c r="M48" s="9">
        <f t="shared" si="26"/>
        <v>7762.442770481139</v>
      </c>
      <c r="N48" s="9">
        <f t="shared" si="26"/>
        <v>7813.830022899128</v>
      </c>
      <c r="O48" s="9">
        <f t="shared" si="26"/>
        <v>7871.718061478741</v>
      </c>
    </row>
    <row r="49" spans="1:2" ht="14.25">
      <c r="A49" s="1"/>
      <c r="B49" s="1"/>
    </row>
    <row r="50" spans="1:15" ht="15.75" thickBot="1">
      <c r="A50" s="5" t="s">
        <v>22</v>
      </c>
      <c r="B50" s="5"/>
      <c r="C50" s="11">
        <f aca="true" t="shared" si="27" ref="C50:O50">C48+C44</f>
        <v>10500</v>
      </c>
      <c r="D50" s="11">
        <f t="shared" si="27"/>
        <v>10532.5</v>
      </c>
      <c r="E50" s="11">
        <f t="shared" si="27"/>
        <v>10532.5</v>
      </c>
      <c r="F50" s="11">
        <f t="shared" si="27"/>
        <v>10527.083333333332</v>
      </c>
      <c r="G50" s="11">
        <f t="shared" si="27"/>
        <v>10854.166666666668</v>
      </c>
      <c r="H50" s="11">
        <f t="shared" si="27"/>
        <v>11023.44324853229</v>
      </c>
      <c r="I50" s="11">
        <f t="shared" si="27"/>
        <v>11061.778755222778</v>
      </c>
      <c r="J50" s="11">
        <f t="shared" si="27"/>
        <v>11108.947488769696</v>
      </c>
      <c r="K50" s="11">
        <f t="shared" si="27"/>
        <v>11165.81954885603</v>
      </c>
      <c r="L50" s="11">
        <f t="shared" si="27"/>
        <v>11233.352037968662</v>
      </c>
      <c r="M50" s="11">
        <f t="shared" si="27"/>
        <v>11312.597761674875</v>
      </c>
      <c r="N50" s="11">
        <f t="shared" si="27"/>
        <v>11404.714798926525</v>
      </c>
      <c r="O50" s="11">
        <f t="shared" si="27"/>
        <v>11510.977029394591</v>
      </c>
    </row>
    <row r="51" spans="1:15" ht="15.75" thickTop="1">
      <c r="A51" s="5"/>
      <c r="B51" s="5"/>
      <c r="C51" s="29">
        <f>IF(C50-C36&gt;0.01,"ERR"&amp;C36-C50,"")</f>
      </c>
      <c r="D51" s="29">
        <f aca="true" t="shared" si="28" ref="D51:O51">IF(D50-D36&gt;0.01,"ERR"&amp;D36-D50,"")</f>
      </c>
      <c r="E51" s="29">
        <f t="shared" si="28"/>
      </c>
      <c r="F51" s="29">
        <f t="shared" si="28"/>
      </c>
      <c r="G51" s="29">
        <f t="shared" si="28"/>
      </c>
      <c r="H51" s="29">
        <f t="shared" si="28"/>
      </c>
      <c r="I51" s="29">
        <f t="shared" si="28"/>
      </c>
      <c r="J51" s="29">
        <f t="shared" si="28"/>
      </c>
      <c r="K51" s="29">
        <f t="shared" si="28"/>
      </c>
      <c r="L51" s="29">
        <f t="shared" si="28"/>
      </c>
      <c r="M51" s="29">
        <f t="shared" si="28"/>
      </c>
      <c r="N51" s="29">
        <f t="shared" si="28"/>
      </c>
      <c r="O51" s="29">
        <f t="shared" si="28"/>
      </c>
    </row>
    <row r="52" spans="1:15" ht="14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4" ht="15">
      <c r="A53" s="2" t="s">
        <v>24</v>
      </c>
      <c r="B53" s="2"/>
      <c r="D53" s="6"/>
    </row>
    <row r="55" spans="1:2" ht="14.25">
      <c r="A55" s="1" t="s">
        <v>28</v>
      </c>
      <c r="B55" s="1"/>
    </row>
    <row r="56" spans="1:15" ht="14.25">
      <c r="A56" s="10" t="s">
        <v>4</v>
      </c>
      <c r="B56" s="10"/>
      <c r="C56" s="6">
        <f aca="true" t="shared" si="29" ref="C56:O56">C23</f>
        <v>0</v>
      </c>
      <c r="D56" s="6">
        <f t="shared" si="29"/>
        <v>32.5</v>
      </c>
      <c r="E56" s="6">
        <f t="shared" si="29"/>
        <v>0</v>
      </c>
      <c r="F56" s="6">
        <f t="shared" si="29"/>
        <v>-5.416666666666668</v>
      </c>
      <c r="G56" s="6">
        <f t="shared" si="29"/>
        <v>27.083333333333336</v>
      </c>
      <c r="H56" s="6">
        <f t="shared" si="29"/>
        <v>30.333333333333336</v>
      </c>
      <c r="I56" s="6">
        <f t="shared" si="29"/>
        <v>26.584038980115714</v>
      </c>
      <c r="J56" s="6">
        <f t="shared" si="29"/>
        <v>30.67069049408195</v>
      </c>
      <c r="K56" s="6">
        <f t="shared" si="29"/>
        <v>35.1527841567847</v>
      </c>
      <c r="L56" s="6">
        <f t="shared" si="29"/>
        <v>40.069857018697405</v>
      </c>
      <c r="M56" s="6">
        <f t="shared" si="29"/>
        <v>45.46539983145925</v>
      </c>
      <c r="N56" s="6">
        <f t="shared" si="29"/>
        <v>51.387252417989345</v>
      </c>
      <c r="O56" s="6">
        <f t="shared" si="29"/>
        <v>57.888038579612754</v>
      </c>
    </row>
    <row r="57" spans="1:15" ht="14.25">
      <c r="A57" s="10" t="s">
        <v>41</v>
      </c>
      <c r="B57" s="10"/>
      <c r="C57" s="6">
        <f aca="true" t="shared" si="30" ref="C57:O57">C12</f>
        <v>0</v>
      </c>
      <c r="D57" s="6">
        <f t="shared" si="30"/>
        <v>0</v>
      </c>
      <c r="E57" s="6">
        <f t="shared" si="30"/>
        <v>0</v>
      </c>
      <c r="F57" s="6">
        <f t="shared" si="30"/>
        <v>8.333333333333334</v>
      </c>
      <c r="G57" s="6">
        <f t="shared" si="30"/>
        <v>8.333333333333334</v>
      </c>
      <c r="H57" s="6">
        <f t="shared" si="30"/>
        <v>8.333333333333334</v>
      </c>
      <c r="I57" s="6">
        <f t="shared" si="30"/>
        <v>8.333333333333334</v>
      </c>
      <c r="J57" s="6">
        <f t="shared" si="30"/>
        <v>8.333333333333334</v>
      </c>
      <c r="K57" s="6">
        <f t="shared" si="30"/>
        <v>8.333333333333334</v>
      </c>
      <c r="L57" s="6">
        <f t="shared" si="30"/>
        <v>8.333333333333334</v>
      </c>
      <c r="M57" s="6">
        <f t="shared" si="30"/>
        <v>8.333333333333334</v>
      </c>
      <c r="N57" s="6">
        <f t="shared" si="30"/>
        <v>8.333333333333334</v>
      </c>
      <c r="O57" s="6">
        <f t="shared" si="30"/>
        <v>8.333333333333334</v>
      </c>
    </row>
    <row r="58" spans="1:2" ht="14.25">
      <c r="A58" s="10" t="s">
        <v>25</v>
      </c>
      <c r="B58" s="10"/>
    </row>
    <row r="59" spans="1:15" ht="14.25">
      <c r="A59" s="14" t="s">
        <v>7</v>
      </c>
      <c r="B59" s="14"/>
      <c r="C59" s="6">
        <f aca="true" t="shared" si="31" ref="C59:O60">B28-C28</f>
        <v>0</v>
      </c>
      <c r="D59" s="6">
        <f t="shared" si="31"/>
        <v>-500</v>
      </c>
      <c r="E59" s="6">
        <f t="shared" si="31"/>
        <v>500</v>
      </c>
      <c r="F59" s="6">
        <f t="shared" si="31"/>
        <v>0</v>
      </c>
      <c r="G59" s="6">
        <f t="shared" si="31"/>
        <v>-250</v>
      </c>
      <c r="H59" s="6">
        <f t="shared" si="31"/>
        <v>159.58904109589042</v>
      </c>
      <c r="I59" s="6">
        <f t="shared" si="31"/>
        <v>-9.041095890410958</v>
      </c>
      <c r="J59" s="6">
        <f t="shared" si="31"/>
        <v>-9.945205479452042</v>
      </c>
      <c r="K59" s="6">
        <f t="shared" si="31"/>
        <v>-10.939726027397285</v>
      </c>
      <c r="L59" s="6">
        <f t="shared" si="31"/>
        <v>-12.033698630136996</v>
      </c>
      <c r="M59" s="6">
        <f t="shared" si="31"/>
        <v>-13.237068493150701</v>
      </c>
      <c r="N59" s="6">
        <f t="shared" si="31"/>
        <v>-14.560775342465746</v>
      </c>
      <c r="O59" s="6">
        <f t="shared" si="31"/>
        <v>-16.016852876712335</v>
      </c>
    </row>
    <row r="60" spans="1:15" ht="14.25">
      <c r="A60" s="14" t="s">
        <v>8</v>
      </c>
      <c r="B60" s="14"/>
      <c r="C60" s="6">
        <f t="shared" si="31"/>
        <v>-10000</v>
      </c>
      <c r="D60" s="6">
        <f t="shared" si="31"/>
        <v>375</v>
      </c>
      <c r="E60" s="6">
        <f t="shared" si="31"/>
        <v>0</v>
      </c>
      <c r="F60" s="6">
        <f t="shared" si="31"/>
        <v>0</v>
      </c>
      <c r="G60" s="6">
        <f t="shared" si="31"/>
        <v>75</v>
      </c>
      <c r="H60" s="6">
        <f t="shared" si="31"/>
        <v>9143.150684931506</v>
      </c>
      <c r="I60" s="6">
        <f t="shared" si="31"/>
        <v>-40.68493150684935</v>
      </c>
      <c r="J60" s="6">
        <f t="shared" si="31"/>
        <v>-44.753424657534254</v>
      </c>
      <c r="K60" s="6">
        <f t="shared" si="31"/>
        <v>-49.22876712328764</v>
      </c>
      <c r="L60" s="6">
        <f t="shared" si="31"/>
        <v>-54.151643835616596</v>
      </c>
      <c r="M60" s="6">
        <f t="shared" si="31"/>
        <v>-59.56680821917803</v>
      </c>
      <c r="N60" s="6">
        <f t="shared" si="31"/>
        <v>-65.52348904109601</v>
      </c>
      <c r="O60" s="6">
        <f t="shared" si="31"/>
        <v>-72.07583794520531</v>
      </c>
    </row>
    <row r="61" spans="1:15" ht="14.25">
      <c r="A61" s="14" t="s">
        <v>14</v>
      </c>
      <c r="B61" s="14"/>
      <c r="C61" s="6">
        <f aca="true" t="shared" si="32" ref="C61:O62">C38-B38</f>
        <v>0</v>
      </c>
      <c r="D61" s="6">
        <f t="shared" si="32"/>
        <v>0</v>
      </c>
      <c r="E61" s="6">
        <f t="shared" si="32"/>
        <v>0</v>
      </c>
      <c r="F61" s="6">
        <f t="shared" si="32"/>
        <v>0</v>
      </c>
      <c r="G61" s="6">
        <f t="shared" si="32"/>
        <v>300</v>
      </c>
      <c r="H61" s="6">
        <f t="shared" si="32"/>
        <v>174.65753424657532</v>
      </c>
      <c r="I61" s="6">
        <f t="shared" si="32"/>
        <v>47.46575342465758</v>
      </c>
      <c r="J61" s="6">
        <f t="shared" si="32"/>
        <v>52.21232876712327</v>
      </c>
      <c r="K61" s="6">
        <f t="shared" si="32"/>
        <v>57.433561643835674</v>
      </c>
      <c r="L61" s="6">
        <f t="shared" si="32"/>
        <v>63.17691780821929</v>
      </c>
      <c r="M61" s="6">
        <f t="shared" si="32"/>
        <v>69.49460958904103</v>
      </c>
      <c r="N61" s="6">
        <f t="shared" si="32"/>
        <v>76.44407054794533</v>
      </c>
      <c r="O61" s="6">
        <f t="shared" si="32"/>
        <v>84.08847760273954</v>
      </c>
    </row>
    <row r="62" spans="1:15" ht="14.25">
      <c r="A62" s="14" t="s">
        <v>15</v>
      </c>
      <c r="B62" s="14"/>
      <c r="C62" s="6">
        <f t="shared" si="32"/>
        <v>0</v>
      </c>
      <c r="D62" s="6">
        <f t="shared" si="32"/>
        <v>0</v>
      </c>
      <c r="E62" s="6">
        <f t="shared" si="32"/>
        <v>0</v>
      </c>
      <c r="F62" s="6">
        <f t="shared" si="32"/>
        <v>0</v>
      </c>
      <c r="G62" s="6">
        <f t="shared" si="32"/>
        <v>0</v>
      </c>
      <c r="H62" s="6">
        <f t="shared" si="32"/>
        <v>0</v>
      </c>
      <c r="I62" s="6">
        <f t="shared" si="32"/>
        <v>0</v>
      </c>
      <c r="J62" s="6">
        <f t="shared" si="32"/>
        <v>0</v>
      </c>
      <c r="K62" s="6">
        <f t="shared" si="32"/>
        <v>0</v>
      </c>
      <c r="L62" s="6">
        <f t="shared" si="32"/>
        <v>0</v>
      </c>
      <c r="M62" s="6">
        <f t="shared" si="32"/>
        <v>0</v>
      </c>
      <c r="N62" s="6">
        <f t="shared" si="32"/>
        <v>0</v>
      </c>
      <c r="O62" s="6">
        <f t="shared" si="32"/>
        <v>0</v>
      </c>
    </row>
    <row r="63" spans="1:15" ht="14.25">
      <c r="A63" s="10" t="s">
        <v>27</v>
      </c>
      <c r="B63" s="10"/>
      <c r="C63" s="9">
        <f aca="true" t="shared" si="33" ref="C63:O63">SUM(C56:C62)</f>
        <v>-10000</v>
      </c>
      <c r="D63" s="9">
        <f t="shared" si="33"/>
        <v>-92.5</v>
      </c>
      <c r="E63" s="9">
        <f t="shared" si="33"/>
        <v>500</v>
      </c>
      <c r="F63" s="9">
        <f t="shared" si="33"/>
        <v>2.916666666666666</v>
      </c>
      <c r="G63" s="9">
        <f t="shared" si="33"/>
        <v>160.41666666666669</v>
      </c>
      <c r="H63" s="9">
        <f t="shared" si="33"/>
        <v>9516.063926940638</v>
      </c>
      <c r="I63" s="9">
        <f t="shared" si="33"/>
        <v>32.65709834084632</v>
      </c>
      <c r="J63" s="9">
        <f t="shared" si="33"/>
        <v>36.51772245755225</v>
      </c>
      <c r="K63" s="9">
        <f t="shared" si="33"/>
        <v>40.75118598326878</v>
      </c>
      <c r="L63" s="9">
        <f t="shared" si="33"/>
        <v>45.394765694496435</v>
      </c>
      <c r="M63" s="9">
        <f t="shared" si="33"/>
        <v>50.48946604150489</v>
      </c>
      <c r="N63" s="9">
        <f t="shared" si="33"/>
        <v>56.08039191570625</v>
      </c>
      <c r="O63" s="9">
        <f t="shared" si="33"/>
        <v>62.217158693767985</v>
      </c>
    </row>
    <row r="65" spans="1:2" ht="14.25">
      <c r="A65" s="1" t="s">
        <v>29</v>
      </c>
      <c r="B65" s="1"/>
    </row>
    <row r="66" spans="1:15" ht="14.25">
      <c r="A66" s="10" t="s">
        <v>30</v>
      </c>
      <c r="B66" s="10"/>
      <c r="C66" s="21">
        <v>-500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1:15" ht="14.25">
      <c r="A67" s="1" t="s">
        <v>34</v>
      </c>
      <c r="B67" s="1"/>
      <c r="C67" s="9">
        <f aca="true" t="shared" si="34" ref="C67:O67">SUM(C66:C66)</f>
        <v>-500</v>
      </c>
      <c r="D67" s="9">
        <f t="shared" si="34"/>
        <v>0</v>
      </c>
      <c r="E67" s="9">
        <f t="shared" si="34"/>
        <v>0</v>
      </c>
      <c r="F67" s="9">
        <f t="shared" si="34"/>
        <v>0</v>
      </c>
      <c r="G67" s="9">
        <f t="shared" si="34"/>
        <v>0</v>
      </c>
      <c r="H67" s="9">
        <f t="shared" si="34"/>
        <v>0</v>
      </c>
      <c r="I67" s="9">
        <f t="shared" si="34"/>
        <v>0</v>
      </c>
      <c r="J67" s="9">
        <f t="shared" si="34"/>
        <v>0</v>
      </c>
      <c r="K67" s="9">
        <f t="shared" si="34"/>
        <v>0</v>
      </c>
      <c r="L67" s="9">
        <f t="shared" si="34"/>
        <v>0</v>
      </c>
      <c r="M67" s="9">
        <f t="shared" si="34"/>
        <v>0</v>
      </c>
      <c r="N67" s="9">
        <f t="shared" si="34"/>
        <v>0</v>
      </c>
      <c r="O67" s="9">
        <f t="shared" si="34"/>
        <v>0</v>
      </c>
    </row>
    <row r="68" spans="3:15" ht="14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4.25">
      <c r="A69" s="1" t="s">
        <v>32</v>
      </c>
      <c r="B69" s="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4.25">
      <c r="A70" s="10" t="s">
        <v>31</v>
      </c>
      <c r="B70" s="10"/>
      <c r="C70" s="21">
        <v>3000</v>
      </c>
      <c r="D70" s="21">
        <v>0</v>
      </c>
      <c r="E70" s="21">
        <v>0</v>
      </c>
      <c r="F70" s="21">
        <v>0</v>
      </c>
      <c r="G70" s="21">
        <v>0</v>
      </c>
      <c r="H70" s="25">
        <f>-$C$70/$C$96/12</f>
        <v>-35.714285714285715</v>
      </c>
      <c r="I70" s="25">
        <f>-$C$70/$C$96/12</f>
        <v>-35.714285714285715</v>
      </c>
      <c r="J70" s="25">
        <f aca="true" t="shared" si="35" ref="J70:O70">-$C$70/$C$96/12</f>
        <v>-35.714285714285715</v>
      </c>
      <c r="K70" s="25">
        <f t="shared" si="35"/>
        <v>-35.714285714285715</v>
      </c>
      <c r="L70" s="25">
        <f t="shared" si="35"/>
        <v>-35.714285714285715</v>
      </c>
      <c r="M70" s="25">
        <f t="shared" si="35"/>
        <v>-35.714285714285715</v>
      </c>
      <c r="N70" s="25">
        <f t="shared" si="35"/>
        <v>-35.714285714285715</v>
      </c>
      <c r="O70" s="25">
        <f t="shared" si="35"/>
        <v>-35.714285714285715</v>
      </c>
    </row>
    <row r="71" spans="1:15" ht="14.25">
      <c r="A71" s="10" t="s">
        <v>33</v>
      </c>
      <c r="B71" s="10"/>
      <c r="C71" s="21">
        <v>7500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1:15" ht="14.25">
      <c r="A72" s="1" t="s">
        <v>35</v>
      </c>
      <c r="B72" s="1"/>
      <c r="C72" s="9">
        <f aca="true" t="shared" si="36" ref="C72:O72">SUM(C70:C71)</f>
        <v>10500</v>
      </c>
      <c r="D72" s="9">
        <f t="shared" si="36"/>
        <v>0</v>
      </c>
      <c r="E72" s="9">
        <f t="shared" si="36"/>
        <v>0</v>
      </c>
      <c r="F72" s="9">
        <f t="shared" si="36"/>
        <v>0</v>
      </c>
      <c r="G72" s="9">
        <f t="shared" si="36"/>
        <v>0</v>
      </c>
      <c r="H72" s="9">
        <f t="shared" si="36"/>
        <v>-35.714285714285715</v>
      </c>
      <c r="I72" s="9">
        <f t="shared" si="36"/>
        <v>-35.714285714285715</v>
      </c>
      <c r="J72" s="9">
        <f t="shared" si="36"/>
        <v>-35.714285714285715</v>
      </c>
      <c r="K72" s="9">
        <f t="shared" si="36"/>
        <v>-35.714285714285715</v>
      </c>
      <c r="L72" s="9">
        <f t="shared" si="36"/>
        <v>-35.714285714285715</v>
      </c>
      <c r="M72" s="9">
        <f t="shared" si="36"/>
        <v>-35.714285714285715</v>
      </c>
      <c r="N72" s="9">
        <f t="shared" si="36"/>
        <v>-35.714285714285715</v>
      </c>
      <c r="O72" s="9">
        <f t="shared" si="36"/>
        <v>-35.714285714285715</v>
      </c>
    </row>
    <row r="73" spans="1:15" ht="14.25">
      <c r="A73" s="1"/>
      <c r="B73" s="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5">
      <c r="A74" s="5" t="s">
        <v>36</v>
      </c>
      <c r="B74" s="1"/>
      <c r="C74" s="18">
        <f aca="true" t="shared" si="37" ref="C74:O74">C63+C67+C72</f>
        <v>0</v>
      </c>
      <c r="D74" s="18">
        <f t="shared" si="37"/>
        <v>-92.5</v>
      </c>
      <c r="E74" s="18">
        <f t="shared" si="37"/>
        <v>500</v>
      </c>
      <c r="F74" s="18">
        <f t="shared" si="37"/>
        <v>2.916666666666666</v>
      </c>
      <c r="G74" s="18">
        <f t="shared" si="37"/>
        <v>160.41666666666669</v>
      </c>
      <c r="H74" s="18">
        <f t="shared" si="37"/>
        <v>9480.349641226352</v>
      </c>
      <c r="I74" s="18">
        <f t="shared" si="37"/>
        <v>-3.0571873734393975</v>
      </c>
      <c r="J74" s="18">
        <f t="shared" si="37"/>
        <v>0.8034367432665377</v>
      </c>
      <c r="K74" s="18">
        <f t="shared" si="37"/>
        <v>5.036900268983068</v>
      </c>
      <c r="L74" s="18">
        <f t="shared" si="37"/>
        <v>9.68047998021072</v>
      </c>
      <c r="M74" s="18">
        <f t="shared" si="37"/>
        <v>14.775180327219175</v>
      </c>
      <c r="N74" s="18">
        <f t="shared" si="37"/>
        <v>20.366106201420536</v>
      </c>
      <c r="O74" s="18">
        <f t="shared" si="37"/>
        <v>26.50287297948227</v>
      </c>
    </row>
    <row r="75" spans="1:15" ht="14.25">
      <c r="A75" s="1"/>
      <c r="B75" s="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4.25">
      <c r="A76" s="1" t="s">
        <v>37</v>
      </c>
      <c r="B76" s="1"/>
      <c r="C76" s="17">
        <f aca="true" t="shared" si="38" ref="C76:O76">B27</f>
        <v>0</v>
      </c>
      <c r="D76" s="17">
        <f t="shared" si="38"/>
        <v>0</v>
      </c>
      <c r="E76" s="17">
        <f t="shared" si="38"/>
        <v>-92.5</v>
      </c>
      <c r="F76" s="17">
        <f t="shared" si="38"/>
        <v>407.5</v>
      </c>
      <c r="G76" s="17">
        <f t="shared" si="38"/>
        <v>410.4166666666667</v>
      </c>
      <c r="H76" s="17">
        <f t="shared" si="38"/>
        <v>570.8333333333334</v>
      </c>
      <c r="I76" s="17">
        <f t="shared" si="38"/>
        <v>10051.182974559686</v>
      </c>
      <c r="J76" s="17">
        <f t="shared" si="38"/>
        <v>10048.125787186247</v>
      </c>
      <c r="K76" s="17">
        <f t="shared" si="38"/>
        <v>10048.929223929514</v>
      </c>
      <c r="L76" s="17">
        <f t="shared" si="38"/>
        <v>10053.966124198496</v>
      </c>
      <c r="M76" s="17">
        <f t="shared" si="38"/>
        <v>10063.646604178706</v>
      </c>
      <c r="N76" s="17">
        <f t="shared" si="38"/>
        <v>10078.421784505925</v>
      </c>
      <c r="O76" s="17">
        <f t="shared" si="38"/>
        <v>10098.787890707345</v>
      </c>
    </row>
    <row r="77" spans="1:15" ht="14.25">
      <c r="A77" s="1" t="s">
        <v>38</v>
      </c>
      <c r="B77" s="1"/>
      <c r="C77" s="17">
        <f aca="true" t="shared" si="39" ref="C77:O77">C76+C74</f>
        <v>0</v>
      </c>
      <c r="D77" s="17">
        <f t="shared" si="39"/>
        <v>-92.5</v>
      </c>
      <c r="E77" s="17">
        <f t="shared" si="39"/>
        <v>407.5</v>
      </c>
      <c r="F77" s="17">
        <f t="shared" si="39"/>
        <v>410.4166666666667</v>
      </c>
      <c r="G77" s="17">
        <f t="shared" si="39"/>
        <v>570.8333333333334</v>
      </c>
      <c r="H77" s="17">
        <f t="shared" si="39"/>
        <v>10051.182974559686</v>
      </c>
      <c r="I77" s="17">
        <f t="shared" si="39"/>
        <v>10048.125787186247</v>
      </c>
      <c r="J77" s="17">
        <f t="shared" si="39"/>
        <v>10048.929223929514</v>
      </c>
      <c r="K77" s="17">
        <f t="shared" si="39"/>
        <v>10053.966124198496</v>
      </c>
      <c r="L77" s="17">
        <f t="shared" si="39"/>
        <v>10063.646604178706</v>
      </c>
      <c r="M77" s="17">
        <f t="shared" si="39"/>
        <v>10078.421784505925</v>
      </c>
      <c r="N77" s="17">
        <f t="shared" si="39"/>
        <v>10098.787890707345</v>
      </c>
      <c r="O77" s="17">
        <f t="shared" si="39"/>
        <v>10125.290763686828</v>
      </c>
    </row>
    <row r="78" spans="1:15" ht="14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82" ht="14.25">
      <c r="A82" t="s">
        <v>17</v>
      </c>
    </row>
    <row r="83" spans="1:3" ht="14.25">
      <c r="A83" s="1" t="s">
        <v>18</v>
      </c>
      <c r="B83" s="1"/>
      <c r="C83" s="19">
        <v>0.1</v>
      </c>
    </row>
    <row r="84" spans="1:3" ht="14.25">
      <c r="A84" s="1" t="s">
        <v>19</v>
      </c>
      <c r="B84" s="1"/>
      <c r="C84" s="19">
        <v>0.25</v>
      </c>
    </row>
    <row r="86" spans="1:3" ht="14.25">
      <c r="A86" s="1" t="s">
        <v>20</v>
      </c>
      <c r="B86" s="1"/>
      <c r="C86" s="19">
        <v>0.15</v>
      </c>
    </row>
    <row r="87" spans="1:3" ht="14.25">
      <c r="A87" s="1" t="s">
        <v>119</v>
      </c>
      <c r="B87" s="1"/>
      <c r="C87" s="19">
        <v>0.35</v>
      </c>
    </row>
    <row r="89" spans="1:4" ht="14.25">
      <c r="A89" s="1" t="s">
        <v>50</v>
      </c>
      <c r="C89" s="21">
        <v>5</v>
      </c>
      <c r="D89" t="s">
        <v>51</v>
      </c>
    </row>
    <row r="91" ht="14.25">
      <c r="A91" s="1" t="s">
        <v>52</v>
      </c>
    </row>
    <row r="92" spans="1:4" ht="14.25">
      <c r="A92" s="10" t="s">
        <v>53</v>
      </c>
      <c r="C92" s="22">
        <v>5</v>
      </c>
      <c r="D92" t="s">
        <v>55</v>
      </c>
    </row>
    <row r="93" spans="1:4" ht="14.25">
      <c r="A93" s="10" t="s">
        <v>54</v>
      </c>
      <c r="C93" s="22">
        <v>35</v>
      </c>
      <c r="D93" t="s">
        <v>56</v>
      </c>
    </row>
    <row r="94" spans="1:4" ht="14.25">
      <c r="A94" s="10" t="s">
        <v>8</v>
      </c>
      <c r="C94" s="22">
        <v>30</v>
      </c>
      <c r="D94" t="s">
        <v>55</v>
      </c>
    </row>
    <row r="96" spans="1:4" ht="14.25">
      <c r="A96" s="1" t="s">
        <v>58</v>
      </c>
      <c r="C96" s="22">
        <v>7</v>
      </c>
      <c r="D96" t="s">
        <v>51</v>
      </c>
    </row>
    <row r="97" spans="1:3" ht="14.25">
      <c r="A97" s="1" t="s">
        <v>70</v>
      </c>
      <c r="C97" s="19">
        <v>0.08</v>
      </c>
    </row>
    <row r="98" spans="1:3" ht="14.25">
      <c r="A98" s="1" t="s">
        <v>71</v>
      </c>
      <c r="C98" s="19">
        <v>0.01</v>
      </c>
    </row>
  </sheetData>
  <sheetProtection/>
  <printOptions/>
  <pageMargins left="0.7" right="0.7" top="0.75" bottom="0.75" header="0.3" footer="0.3"/>
  <pageSetup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McDermott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CRR</dc:creator>
  <cp:keywords/>
  <dc:description/>
  <cp:lastModifiedBy> Cary Ratterree</cp:lastModifiedBy>
  <cp:lastPrinted>2010-07-02T21:16:24Z</cp:lastPrinted>
  <dcterms:created xsi:type="dcterms:W3CDTF">2010-07-01T21:19:26Z</dcterms:created>
  <dcterms:modified xsi:type="dcterms:W3CDTF">2010-09-01T19:29:08Z</dcterms:modified>
  <cp:category/>
  <cp:version/>
  <cp:contentType/>
  <cp:contentStatus/>
</cp:coreProperties>
</file>